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730" windowHeight="11760" tabRatio="809" firstSheet="8" activeTab="8"/>
  </bookViews>
  <sheets>
    <sheet name="Thu 2024" sheetId="21" state="hidden" r:id="rId1"/>
    <sheet name="Chi" sheetId="20" state="hidden" r:id="rId2"/>
    <sheet name="BC VSN 2025" sheetId="16" state="hidden" r:id="rId3"/>
    <sheet name="BC VĐT 2025" sheetId="17" state="hidden" r:id="rId4"/>
    <sheet name="BC VĐT " sheetId="19" state="hidden" r:id="rId5"/>
    <sheet name="12" sheetId="2" state="hidden" r:id="rId6"/>
    <sheet name="13" sheetId="3" state="hidden" r:id="rId7"/>
    <sheet name="14" sheetId="4" state="hidden" r:id="rId8"/>
    <sheet name="15" sheetId="5" r:id="rId9"/>
    <sheet name="16" sheetId="6" r:id="rId10"/>
    <sheet name="17" sheetId="7" r:id="rId11"/>
    <sheet name="23" sheetId="8" state="hidden" r:id="rId12"/>
    <sheet name="28" sheetId="22" state="hidden" r:id="rId13"/>
    <sheet name="34" sheetId="9" r:id="rId14"/>
    <sheet name="35" sheetId="10" r:id="rId15"/>
    <sheet name="36" sheetId="12" state="hidden" r:id="rId16"/>
    <sheet name="37" sheetId="13" r:id="rId17"/>
    <sheet name="38" sheetId="14" state="hidden" r:id="rId18"/>
    <sheet name="Biểu 01 (cũ)" sheetId="28" state="hidden" r:id="rId19"/>
    <sheet name="Biểu 01" sheetId="23" r:id="rId20"/>
    <sheet name="Biểu 02" sheetId="24" state="hidden" r:id="rId21"/>
    <sheet name="Biểu CSHS" sheetId="25" state="hidden" r:id="rId22"/>
    <sheet name="45" sheetId="1" r:id="rId23"/>
    <sheet name="46" sheetId="15" state="hidden" r:id="rId24"/>
  </sheets>
  <externalReferences>
    <externalReference r:id="rId25"/>
    <externalReference r:id="rId26"/>
    <externalReference r:id="rId27"/>
  </externalReferences>
  <definedNames>
    <definedName name="chuong_phuluc_12" localSheetId="5">'12'!$D$1</definedName>
    <definedName name="chuong_phuluc_12_name" localSheetId="5">'12'!$A$3</definedName>
    <definedName name="chuong_phuluc_13" localSheetId="6">'13'!$E$1</definedName>
    <definedName name="chuong_phuluc_13_name" localSheetId="6">'13'!$A$3</definedName>
    <definedName name="chuong_phuluc_14" localSheetId="7">'14'!$E$1</definedName>
    <definedName name="chuong_phuluc_14_name" localSheetId="7">'14'!$A$3</definedName>
    <definedName name="chuong_phuluc_15" localSheetId="8">'15'!$E$1</definedName>
    <definedName name="chuong_phuluc_15_name" localSheetId="8">'15'!$A$3</definedName>
    <definedName name="chuong_phuluc_16" localSheetId="9">'16'!$E$1</definedName>
    <definedName name="chuong_phuluc_16_name" localSheetId="9">'16'!$A$3</definedName>
    <definedName name="chuong_phuluc_17" localSheetId="10">'17'!$D$1</definedName>
    <definedName name="chuong_phuluc_17_name" localSheetId="10">'17'!$A$3</definedName>
    <definedName name="chuong_phuluc_23" localSheetId="11">'23'!$D$1</definedName>
    <definedName name="chuong_phuluc_23_name" localSheetId="11">'23'!$A$3</definedName>
    <definedName name="chuong_phuluc_28" localSheetId="12">'28'!$A$1</definedName>
    <definedName name="chuong_phuluc_28_name" localSheetId="12">'28'!$A$2</definedName>
    <definedName name="chuong_phuluc_45" localSheetId="22">'45'!$K$1</definedName>
    <definedName name="chuong_phuluc_45_name" localSheetId="22">'45'!$A$3</definedName>
    <definedName name="Print_Area" localSheetId="9">'16'!$A$1:$G$55</definedName>
    <definedName name="Print_Area" localSheetId="13">'34'!$A$1:$C$36</definedName>
    <definedName name="Print_Area" localSheetId="14">'35'!$A$1:$Q$51</definedName>
    <definedName name="Print_Area" localSheetId="19">'Biểu 01'!$A$1:$G$72</definedName>
    <definedName name="Print_Area" localSheetId="20">'Biểu 02'!$A$1:$L$831</definedName>
    <definedName name="_xlnm.Print_Titles" localSheetId="5">'12'!$6:$8</definedName>
    <definedName name="_xlnm.Print_Titles" localSheetId="6">'13'!$6:$8</definedName>
    <definedName name="_xlnm.Print_Titles" localSheetId="7">'14'!$6:$8</definedName>
    <definedName name="_xlnm.Print_Titles" localSheetId="9">'16'!$6:$8</definedName>
    <definedName name="_xlnm.Print_Titles" localSheetId="10">'17'!$6:$8</definedName>
    <definedName name="_xlnm.Print_Titles" localSheetId="13">'34'!$6:$7</definedName>
    <definedName name="_xlnm.Print_Titles" localSheetId="14">'35'!$6:$9</definedName>
    <definedName name="_xlnm.Print_Titles" localSheetId="16">'37'!$6:$8</definedName>
    <definedName name="_xlnm.Print_Titles" localSheetId="22">'45'!$6:$9</definedName>
    <definedName name="_xlnm.Print_Titles" localSheetId="4">'BC VĐT '!$5:$8</definedName>
    <definedName name="_xlnm.Print_Titles" localSheetId="3">'BC VĐT 2025'!$5:$8</definedName>
    <definedName name="_xlnm.Print_Titles" localSheetId="2">'BC VSN 2025'!$5:$8</definedName>
    <definedName name="_xlnm.Print_Titles" localSheetId="19">'Biểu 01'!$5:$7</definedName>
    <definedName name="_xlnm.Print_Titles" localSheetId="20">'Biểu 02'!$5:$8</definedName>
    <definedName name="_xlnm.Print_Titles" localSheetId="21">'Biểu CSHS'!$5:$6</definedName>
    <definedName name="tvpllink_orzgiqxtpn_11" localSheetId="5">'12'!#REF!</definedName>
    <definedName name="_xlnm.Print_Area" localSheetId="5">'12'!$A$1:$F$37</definedName>
    <definedName name="_xlnm.Print_Area" localSheetId="7">'14'!$A$1:$G$64</definedName>
    <definedName name="_xlnm.Print_Area" localSheetId="9">'16'!$A$1:$I$55</definedName>
    <definedName name="_xlnm.Print_Area" localSheetId="13">'34'!$A$1:$C$36</definedName>
    <definedName name="_xlnm.Print_Area" localSheetId="14">'35'!$A$1:$Q$41</definedName>
    <definedName name="_xlnm.Print_Area" localSheetId="4">'BC VĐT '!$A$1:$M$55</definedName>
    <definedName name="_xlnm.Print_Area" localSheetId="3">'BC VĐT 2025'!$A$1:$AO$57</definedName>
    <definedName name="_xlnm.Print_Area" localSheetId="2">'BC VSN 2025'!$A$1:$AD$60</definedName>
    <definedName name="_xlnm.Print_Area" localSheetId="19">'Biểu 01'!$A$1:$G$72</definedName>
    <definedName name="_xlnm.Print_Area" localSheetId="20">'Biểu 02'!$A$1:$L$831</definedName>
    <definedName name="_xlnm.Print_Area" localSheetId="0">'Thu 2024'!$A$1:$E$36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23" l="1"/>
  <c r="F47" i="23" l="1"/>
  <c r="F19" i="23" s="1"/>
  <c r="F53" i="23"/>
  <c r="D54" i="23"/>
  <c r="E54" i="23" s="1"/>
  <c r="E469" i="24"/>
  <c r="G469" i="24" s="1"/>
  <c r="H661" i="24"/>
  <c r="I661" i="24"/>
  <c r="G662" i="24"/>
  <c r="G663" i="24"/>
  <c r="K663" i="24" s="1"/>
  <c r="G664" i="24"/>
  <c r="K664" i="24" s="1"/>
  <c r="G665" i="24"/>
  <c r="K665" i="24" s="1"/>
  <c r="G666" i="24"/>
  <c r="K666" i="24"/>
  <c r="G556" i="24"/>
  <c r="E559" i="24"/>
  <c r="G559" i="24" s="1"/>
  <c r="H559" i="24" s="1"/>
  <c r="G661" i="24" l="1"/>
  <c r="H469" i="24"/>
  <c r="K662" i="24"/>
  <c r="K661" i="24" s="1"/>
  <c r="K469" i="24" l="1"/>
  <c r="E553" i="24" l="1"/>
  <c r="E550" i="24"/>
  <c r="D550" i="24"/>
  <c r="E549" i="24"/>
  <c r="D549" i="24"/>
  <c r="E547" i="24"/>
  <c r="D547" i="24"/>
  <c r="E543" i="24"/>
  <c r="D543" i="24"/>
  <c r="D542" i="24"/>
  <c r="J11" i="24" l="1"/>
  <c r="J10" i="24" s="1"/>
  <c r="H19" i="24" l="1"/>
  <c r="I19" i="24"/>
  <c r="G21" i="24"/>
  <c r="K21" i="24" s="1"/>
  <c r="G20" i="24"/>
  <c r="K20" i="24" s="1"/>
  <c r="G48" i="24" l="1"/>
  <c r="K48" i="24" s="1"/>
  <c r="G47" i="24"/>
  <c r="G811" i="24"/>
  <c r="H812" i="24"/>
  <c r="I812" i="24"/>
  <c r="G812" i="24"/>
  <c r="K826" i="24"/>
  <c r="G69" i="24" l="1"/>
  <c r="K69" i="24" s="1"/>
  <c r="B69" i="24"/>
  <c r="K99" i="24"/>
  <c r="C26" i="9"/>
  <c r="C29" i="9"/>
  <c r="C21" i="6"/>
  <c r="D10" i="1" l="1"/>
  <c r="E10" i="1"/>
  <c r="F10" i="1"/>
  <c r="I10" i="1"/>
  <c r="J10" i="1"/>
  <c r="K10" i="1"/>
  <c r="C10" i="1"/>
  <c r="G18" i="1" l="1"/>
  <c r="H18" i="1"/>
  <c r="M18" i="1" s="1"/>
  <c r="G19" i="1"/>
  <c r="H19" i="1"/>
  <c r="M19" i="1" s="1"/>
  <c r="L14" i="1"/>
  <c r="L15" i="1"/>
  <c r="L16" i="1"/>
  <c r="L17" i="1"/>
  <c r="L18" i="1"/>
  <c r="G14" i="1"/>
  <c r="G15" i="1"/>
  <c r="G16" i="1"/>
  <c r="G17" i="1"/>
  <c r="L12" i="1" l="1"/>
  <c r="L13" i="1"/>
  <c r="L11" i="1"/>
  <c r="L10" i="1" s="1"/>
  <c r="H12" i="1"/>
  <c r="M12" i="1" s="1"/>
  <c r="H13" i="1"/>
  <c r="M13" i="1" s="1"/>
  <c r="H14" i="1"/>
  <c r="M14" i="1" s="1"/>
  <c r="H15" i="1"/>
  <c r="M15" i="1" s="1"/>
  <c r="H16" i="1"/>
  <c r="M16" i="1" s="1"/>
  <c r="H17" i="1"/>
  <c r="M17" i="1" s="1"/>
  <c r="H11" i="1"/>
  <c r="G12" i="1"/>
  <c r="G13" i="1"/>
  <c r="G11" i="1"/>
  <c r="M11" i="1" l="1"/>
  <c r="M10" i="1" s="1"/>
  <c r="H10" i="1"/>
  <c r="G10" i="1"/>
  <c r="D61" i="4"/>
  <c r="D60" i="4"/>
  <c r="D58" i="4"/>
  <c r="D55" i="4"/>
  <c r="D53" i="4"/>
  <c r="D52" i="4"/>
  <c r="D51" i="4"/>
  <c r="D50" i="4"/>
  <c r="D43" i="4" s="1"/>
  <c r="D49" i="4"/>
  <c r="D48" i="4"/>
  <c r="D46" i="4"/>
  <c r="D65" i="7" l="1"/>
  <c r="D67" i="7"/>
  <c r="D70" i="7"/>
  <c r="D74" i="7"/>
  <c r="D75" i="7"/>
  <c r="D78" i="7"/>
  <c r="D79" i="7"/>
  <c r="D80" i="7"/>
  <c r="D81" i="7"/>
  <c r="D82" i="7"/>
  <c r="D83" i="7"/>
  <c r="D84" i="7"/>
  <c r="D85" i="7"/>
  <c r="D86" i="7"/>
  <c r="D87" i="7"/>
  <c r="D91" i="7"/>
  <c r="D92" i="7"/>
  <c r="D93" i="7"/>
  <c r="D94" i="7"/>
  <c r="D95" i="7"/>
  <c r="D97" i="7"/>
  <c r="D99" i="7"/>
  <c r="D100" i="7"/>
  <c r="B100" i="7"/>
  <c r="B97" i="7"/>
  <c r="B98" i="7"/>
  <c r="B99" i="7"/>
  <c r="B90" i="7"/>
  <c r="B91" i="7"/>
  <c r="B92" i="7"/>
  <c r="B93" i="7"/>
  <c r="B94" i="7"/>
  <c r="B95" i="7"/>
  <c r="B96" i="7"/>
  <c r="B84" i="7"/>
  <c r="B85" i="7"/>
  <c r="B86" i="7"/>
  <c r="B87" i="7"/>
  <c r="B88" i="7"/>
  <c r="B89" i="7"/>
  <c r="B76" i="7"/>
  <c r="B77" i="7"/>
  <c r="B78" i="7"/>
  <c r="B79" i="7"/>
  <c r="B80" i="7"/>
  <c r="B81" i="7"/>
  <c r="B82" i="7"/>
  <c r="B83" i="7"/>
  <c r="B64" i="7"/>
  <c r="B65" i="7"/>
  <c r="B66" i="7"/>
  <c r="B67" i="7"/>
  <c r="B68" i="7"/>
  <c r="B69" i="7"/>
  <c r="B70" i="7"/>
  <c r="B71" i="7"/>
  <c r="B72" i="7"/>
  <c r="B73" i="7"/>
  <c r="B74" i="7"/>
  <c r="B75" i="7"/>
  <c r="B63" i="7"/>
  <c r="D27" i="7"/>
  <c r="E12" i="5" l="1"/>
  <c r="E11" i="5"/>
  <c r="E12" i="23"/>
  <c r="E10" i="23" s="1"/>
  <c r="F12" i="23"/>
  <c r="F10" i="23" s="1"/>
  <c r="E10" i="5" l="1"/>
  <c r="C31" i="9"/>
  <c r="C27" i="9"/>
  <c r="D46" i="23"/>
  <c r="D76" i="7" s="1"/>
  <c r="D42" i="23"/>
  <c r="D72" i="7" s="1"/>
  <c r="D61" i="23"/>
  <c r="D89" i="7" s="1"/>
  <c r="C21" i="9"/>
  <c r="D24" i="7" s="1"/>
  <c r="C19" i="9"/>
  <c r="D23" i="7" s="1"/>
  <c r="C19" i="23" l="1"/>
  <c r="C29" i="23"/>
  <c r="G18" i="10"/>
  <c r="H134" i="24"/>
  <c r="I134" i="24"/>
  <c r="G138" i="24"/>
  <c r="G139" i="24"/>
  <c r="K139" i="24" s="1"/>
  <c r="B139" i="24"/>
  <c r="D25" i="23"/>
  <c r="G72" i="23"/>
  <c r="F70" i="23"/>
  <c r="E72" i="23"/>
  <c r="E71" i="23"/>
  <c r="G71" i="23" s="1"/>
  <c r="F68" i="23"/>
  <c r="G68" i="23"/>
  <c r="G46" i="23"/>
  <c r="F39" i="23"/>
  <c r="G42" i="23"/>
  <c r="G35" i="23"/>
  <c r="G34" i="23" s="1"/>
  <c r="E34" i="23"/>
  <c r="G37" i="23"/>
  <c r="G36" i="23" s="1"/>
  <c r="F36" i="23"/>
  <c r="E37" i="23"/>
  <c r="G14" i="10" s="1"/>
  <c r="G12" i="10" s="1"/>
  <c r="D22" i="10"/>
  <c r="G22" i="10"/>
  <c r="E70" i="23" l="1"/>
  <c r="G33" i="23"/>
  <c r="E36" i="23"/>
  <c r="E33" i="23" s="1"/>
  <c r="G70" i="23"/>
  <c r="D16" i="23" l="1"/>
  <c r="D19" i="23"/>
  <c r="D23" i="23"/>
  <c r="D22" i="23"/>
  <c r="D21" i="23"/>
  <c r="D27" i="23"/>
  <c r="D28" i="23"/>
  <c r="D29" i="23"/>
  <c r="C31" i="23"/>
  <c r="D31" i="23" s="1"/>
  <c r="E25" i="5" s="1"/>
  <c r="D70" i="23"/>
  <c r="D98" i="7" s="1"/>
  <c r="D68" i="23"/>
  <c r="D96" i="7" s="1"/>
  <c r="D62" i="23"/>
  <c r="D90" i="7" s="1"/>
  <c r="D60" i="23"/>
  <c r="D43" i="23"/>
  <c r="D73" i="7" s="1"/>
  <c r="D41" i="23"/>
  <c r="D36" i="23"/>
  <c r="D66" i="7" s="1"/>
  <c r="D34" i="23"/>
  <c r="D64" i="7" s="1"/>
  <c r="C43" i="23"/>
  <c r="C70" i="23"/>
  <c r="C68" i="23"/>
  <c r="C62" i="23"/>
  <c r="C60" i="23"/>
  <c r="F62" i="23"/>
  <c r="F43" i="23"/>
  <c r="C41" i="23"/>
  <c r="C39" i="23" s="1"/>
  <c r="D88" i="7" l="1"/>
  <c r="D47" i="23"/>
  <c r="D63" i="7"/>
  <c r="D39" i="23"/>
  <c r="D69" i="7" s="1"/>
  <c r="D71" i="7"/>
  <c r="C47" i="23"/>
  <c r="C38" i="23" s="1"/>
  <c r="D38" i="23" l="1"/>
  <c r="D32" i="23" s="1"/>
  <c r="D77" i="7"/>
  <c r="D68" i="7" s="1"/>
  <c r="D43" i="7" s="1"/>
  <c r="C32" i="23"/>
  <c r="E29" i="5" l="1"/>
  <c r="E15" i="5"/>
  <c r="D30" i="23"/>
  <c r="C28" i="9"/>
  <c r="D17" i="23" s="1"/>
  <c r="C25" i="9"/>
  <c r="D24" i="23" s="1"/>
  <c r="C34" i="23"/>
  <c r="C36" i="23"/>
  <c r="G92" i="28" l="1"/>
  <c r="G91" i="28"/>
  <c r="F90" i="28"/>
  <c r="E90" i="28"/>
  <c r="D90" i="28"/>
  <c r="C90" i="28"/>
  <c r="G89" i="28"/>
  <c r="G88" i="28"/>
  <c r="F87" i="28"/>
  <c r="E87" i="28"/>
  <c r="D87" i="28"/>
  <c r="C87" i="28"/>
  <c r="G86" i="28"/>
  <c r="G85" i="28"/>
  <c r="F84" i="28"/>
  <c r="E84" i="28"/>
  <c r="D84" i="28"/>
  <c r="C84" i="28"/>
  <c r="F83" i="28"/>
  <c r="E83" i="28"/>
  <c r="D83" i="28"/>
  <c r="C83" i="28"/>
  <c r="F82" i="28"/>
  <c r="E82" i="28"/>
  <c r="D82" i="28"/>
  <c r="C82" i="28"/>
  <c r="G80" i="28"/>
  <c r="G79" i="28"/>
  <c r="F78" i="28"/>
  <c r="E78" i="28"/>
  <c r="D78" i="28"/>
  <c r="C78" i="28"/>
  <c r="G77" i="28"/>
  <c r="G76" i="28"/>
  <c r="F75" i="28"/>
  <c r="E75" i="28"/>
  <c r="D75" i="28"/>
  <c r="C75" i="28"/>
  <c r="G74" i="28"/>
  <c r="G73" i="28"/>
  <c r="F72" i="28"/>
  <c r="E72" i="28"/>
  <c r="D72" i="28"/>
  <c r="C72" i="28"/>
  <c r="F71" i="28"/>
  <c r="E71" i="28"/>
  <c r="D71" i="28"/>
  <c r="C71" i="28"/>
  <c r="F70" i="28"/>
  <c r="E70" i="28"/>
  <c r="D70" i="28"/>
  <c r="C70" i="28"/>
  <c r="F64" i="28"/>
  <c r="E64" i="28"/>
  <c r="D64" i="28"/>
  <c r="C64" i="28"/>
  <c r="F59" i="28"/>
  <c r="F58" i="28" s="1"/>
  <c r="E59" i="28"/>
  <c r="E58" i="28" s="1"/>
  <c r="D59" i="28"/>
  <c r="C59" i="28"/>
  <c r="G56" i="28"/>
  <c r="G55" i="28"/>
  <c r="D54" i="28"/>
  <c r="D53" i="28"/>
  <c r="C52" i="28"/>
  <c r="D52" i="28" s="1"/>
  <c r="C51" i="28"/>
  <c r="D51" i="28" s="1"/>
  <c r="D50" i="28"/>
  <c r="D49" i="28"/>
  <c r="G49" i="28" s="1"/>
  <c r="D48" i="28"/>
  <c r="D47" i="28"/>
  <c r="D46" i="28"/>
  <c r="D45" i="28"/>
  <c r="D44" i="28"/>
  <c r="D43" i="28"/>
  <c r="F42" i="28"/>
  <c r="C42" i="28"/>
  <c r="D42" i="28" s="1"/>
  <c r="D41" i="28"/>
  <c r="D40" i="28"/>
  <c r="D39" i="28"/>
  <c r="F38" i="28"/>
  <c r="C38" i="28"/>
  <c r="D37" i="28"/>
  <c r="D36" i="28"/>
  <c r="D35" i="28"/>
  <c r="D34" i="28"/>
  <c r="D33" i="28"/>
  <c r="D32" i="28"/>
  <c r="D31" i="28"/>
  <c r="D30" i="28"/>
  <c r="D29" i="28"/>
  <c r="D28" i="28"/>
  <c r="D27" i="28"/>
  <c r="C26" i="28"/>
  <c r="D26" i="28" s="1"/>
  <c r="D24" i="28"/>
  <c r="D23" i="28"/>
  <c r="E23" i="28" s="1"/>
  <c r="C22" i="28"/>
  <c r="I21" i="28"/>
  <c r="D20" i="28"/>
  <c r="D19" i="28"/>
  <c r="E19" i="28" s="1"/>
  <c r="G19" i="28" s="1"/>
  <c r="D18" i="28"/>
  <c r="E18" i="28" s="1"/>
  <c r="C17" i="28"/>
  <c r="D17" i="28" s="1"/>
  <c r="F16" i="28"/>
  <c r="D14" i="28"/>
  <c r="D13" i="28"/>
  <c r="D12" i="28" s="1"/>
  <c r="C12" i="28"/>
  <c r="C10" i="28" s="1"/>
  <c r="D11" i="28"/>
  <c r="A3" i="28"/>
  <c r="D18" i="23"/>
  <c r="U24" i="17"/>
  <c r="O24" i="17" s="1"/>
  <c r="V24" i="17"/>
  <c r="P24" i="17" s="1"/>
  <c r="Q24" i="17"/>
  <c r="O22" i="17"/>
  <c r="P22" i="17"/>
  <c r="Q22" i="17"/>
  <c r="P23" i="17"/>
  <c r="O23" i="17"/>
  <c r="N23" i="17" s="1"/>
  <c r="T23" i="17"/>
  <c r="C81" i="28" l="1"/>
  <c r="C67" i="28"/>
  <c r="G72" i="28"/>
  <c r="G78" i="28"/>
  <c r="C15" i="28"/>
  <c r="C9" i="28" s="1"/>
  <c r="D81" i="28"/>
  <c r="G87" i="28"/>
  <c r="D67" i="28"/>
  <c r="E67" i="28"/>
  <c r="G84" i="28"/>
  <c r="G90" i="28"/>
  <c r="G82" i="28"/>
  <c r="D38" i="28"/>
  <c r="F69" i="28"/>
  <c r="C68" i="28"/>
  <c r="C66" i="28" s="1"/>
  <c r="D58" i="28"/>
  <c r="D68" i="28"/>
  <c r="D69" i="28"/>
  <c r="G83" i="28"/>
  <c r="D10" i="28"/>
  <c r="G70" i="28"/>
  <c r="G71" i="28"/>
  <c r="F68" i="28"/>
  <c r="G75" i="28"/>
  <c r="F81" i="28"/>
  <c r="C58" i="28"/>
  <c r="C69" i="28"/>
  <c r="D16" i="28"/>
  <c r="G23" i="28"/>
  <c r="D25" i="28"/>
  <c r="E68" i="28"/>
  <c r="G68" i="28" s="1"/>
  <c r="G18" i="28"/>
  <c r="D66" i="28"/>
  <c r="E69" i="28"/>
  <c r="E81" i="28"/>
  <c r="F67" i="28"/>
  <c r="F66" i="28" s="1"/>
  <c r="F57" i="28" s="1"/>
  <c r="D21" i="28"/>
  <c r="D22" i="28" s="1"/>
  <c r="N24" i="17"/>
  <c r="N22" i="17"/>
  <c r="D57" i="28" l="1"/>
  <c r="G81" i="28"/>
  <c r="G67" i="28"/>
  <c r="G66" i="28" s="1"/>
  <c r="G69" i="28"/>
  <c r="C57" i="28"/>
  <c r="C8" i="28" s="1"/>
  <c r="I9" i="28" s="1"/>
  <c r="E66" i="28"/>
  <c r="E57" i="28" s="1"/>
  <c r="G57" i="28" s="1"/>
  <c r="D15" i="28"/>
  <c r="H227" i="24"/>
  <c r="I227" i="24"/>
  <c r="D9" i="28" l="1"/>
  <c r="D8" i="28" s="1"/>
  <c r="C18" i="9" l="1"/>
  <c r="C15" i="23" l="1"/>
  <c r="D21" i="7"/>
  <c r="C11" i="9"/>
  <c r="C10" i="9" s="1"/>
  <c r="C8" i="9" s="1"/>
  <c r="C12" i="23" l="1"/>
  <c r="D14" i="23"/>
  <c r="G14" i="23" s="1"/>
  <c r="D13" i="23"/>
  <c r="G13" i="23" s="1"/>
  <c r="D11" i="23"/>
  <c r="G11" i="23" s="1"/>
  <c r="E10" i="6"/>
  <c r="F29" i="6"/>
  <c r="F10" i="6" s="1"/>
  <c r="F9" i="6" s="1"/>
  <c r="D55" i="6"/>
  <c r="D9" i="6" s="1"/>
  <c r="G12" i="23" l="1"/>
  <c r="G10" i="23"/>
  <c r="D12" i="23"/>
  <c r="C10" i="23"/>
  <c r="C9" i="23" s="1"/>
  <c r="D10" i="23"/>
  <c r="E21" i="5" s="1"/>
  <c r="D12" i="7" s="1"/>
  <c r="D11" i="7" s="1"/>
  <c r="H738" i="24" l="1"/>
  <c r="I738" i="24"/>
  <c r="I751" i="24"/>
  <c r="I728" i="24" s="1"/>
  <c r="H751" i="24"/>
  <c r="D738" i="24"/>
  <c r="D755" i="24" s="1"/>
  <c r="E755" i="24" s="1"/>
  <c r="G755" i="24" s="1"/>
  <c r="H755" i="24" s="1"/>
  <c r="K755" i="24" s="1"/>
  <c r="D739" i="24"/>
  <c r="D750" i="24"/>
  <c r="E749" i="24"/>
  <c r="D749" i="24"/>
  <c r="E746" i="24"/>
  <c r="D746" i="24"/>
  <c r="E745" i="24"/>
  <c r="D745" i="24"/>
  <c r="E743" i="24"/>
  <c r="D743" i="24"/>
  <c r="D742" i="24"/>
  <c r="E740" i="24"/>
  <c r="D740" i="24"/>
  <c r="E739" i="24"/>
  <c r="H728" i="24" l="1"/>
  <c r="D752" i="24"/>
  <c r="G99" i="23"/>
  <c r="G98" i="23"/>
  <c r="G96" i="23"/>
  <c r="G95" i="23"/>
  <c r="G93" i="23"/>
  <c r="G92" i="23"/>
  <c r="G87" i="23"/>
  <c r="G86" i="23"/>
  <c r="G84" i="23"/>
  <c r="G83" i="23"/>
  <c r="G81" i="23"/>
  <c r="G80" i="23"/>
  <c r="G31" i="23"/>
  <c r="G752" i="24" l="1"/>
  <c r="D728" i="24"/>
  <c r="D98" i="25"/>
  <c r="D94" i="25"/>
  <c r="D90" i="25"/>
  <c r="D80" i="25"/>
  <c r="D70" i="25"/>
  <c r="D49" i="25"/>
  <c r="D28" i="25"/>
  <c r="D24" i="25"/>
  <c r="D20" i="25"/>
  <c r="D18" i="25"/>
  <c r="G97" i="23"/>
  <c r="F97" i="23"/>
  <c r="E97" i="23"/>
  <c r="D97" i="23"/>
  <c r="C97" i="23"/>
  <c r="F94" i="23"/>
  <c r="E94" i="23"/>
  <c r="D94" i="23"/>
  <c r="C94" i="23"/>
  <c r="G91" i="23"/>
  <c r="F91" i="23"/>
  <c r="E91" i="23"/>
  <c r="D91" i="23"/>
  <c r="C91" i="23"/>
  <c r="F90" i="23"/>
  <c r="E90" i="23"/>
  <c r="D90" i="23"/>
  <c r="C90" i="23"/>
  <c r="F89" i="23"/>
  <c r="E89" i="23"/>
  <c r="D89" i="23"/>
  <c r="C89" i="23"/>
  <c r="F85" i="23"/>
  <c r="E85" i="23"/>
  <c r="D85" i="23"/>
  <c r="C85" i="23"/>
  <c r="G82" i="23"/>
  <c r="F82" i="23"/>
  <c r="E82" i="23"/>
  <c r="D82" i="23"/>
  <c r="C82" i="23"/>
  <c r="G79" i="23"/>
  <c r="F79" i="23"/>
  <c r="E79" i="23"/>
  <c r="D79" i="23"/>
  <c r="C79" i="23"/>
  <c r="F78" i="23"/>
  <c r="E78" i="23"/>
  <c r="D78" i="23"/>
  <c r="C78" i="23"/>
  <c r="F77" i="23"/>
  <c r="E77" i="23"/>
  <c r="D77" i="23"/>
  <c r="C77" i="23"/>
  <c r="F34" i="23"/>
  <c r="F33" i="23" s="1"/>
  <c r="F24" i="23"/>
  <c r="F20" i="23"/>
  <c r="K825" i="24"/>
  <c r="K824" i="24"/>
  <c r="K823" i="24"/>
  <c r="K822" i="24"/>
  <c r="K821" i="24"/>
  <c r="K820" i="24"/>
  <c r="K819" i="24"/>
  <c r="K818" i="24"/>
  <c r="K817" i="24"/>
  <c r="K816" i="24"/>
  <c r="K815" i="24"/>
  <c r="K814" i="24"/>
  <c r="K813" i="24"/>
  <c r="I810" i="24"/>
  <c r="H810" i="24"/>
  <c r="H809" i="24" s="1"/>
  <c r="K808" i="24"/>
  <c r="K807" i="24"/>
  <c r="E59" i="23" s="1"/>
  <c r="G59" i="23" s="1"/>
  <c r="I806" i="24"/>
  <c r="H806" i="24"/>
  <c r="G806" i="24"/>
  <c r="D806" i="24"/>
  <c r="K805" i="24"/>
  <c r="K804" i="24"/>
  <c r="H803" i="24"/>
  <c r="K803" i="24" s="1"/>
  <c r="J794" i="24" s="1"/>
  <c r="J793" i="24" s="1"/>
  <c r="J779" i="24" s="1"/>
  <c r="K802" i="24"/>
  <c r="G801" i="24"/>
  <c r="G774" i="24" s="1"/>
  <c r="K800" i="24"/>
  <c r="I799" i="24"/>
  <c r="G798" i="24"/>
  <c r="K798" i="24" s="1"/>
  <c r="G797" i="24"/>
  <c r="K797" i="24" s="1"/>
  <c r="I796" i="24"/>
  <c r="H796" i="24"/>
  <c r="F795" i="24"/>
  <c r="E795" i="24"/>
  <c r="E770" i="24" s="1"/>
  <c r="G770" i="24" s="1"/>
  <c r="K770" i="24" s="1"/>
  <c r="M794" i="24"/>
  <c r="I794" i="24"/>
  <c r="I793" i="24" s="1"/>
  <c r="G791" i="24"/>
  <c r="K791" i="24" s="1"/>
  <c r="G790" i="24"/>
  <c r="K790" i="24" s="1"/>
  <c r="G789" i="24"/>
  <c r="K789" i="24" s="1"/>
  <c r="E788" i="24"/>
  <c r="G788" i="24" s="1"/>
  <c r="K788" i="24" s="1"/>
  <c r="G787" i="24"/>
  <c r="K787" i="24" s="1"/>
  <c r="G786" i="24"/>
  <c r="K786" i="24" s="1"/>
  <c r="G785" i="24"/>
  <c r="K785" i="24" s="1"/>
  <c r="E784" i="24"/>
  <c r="G784" i="24" s="1"/>
  <c r="K784" i="24" s="1"/>
  <c r="G783" i="24"/>
  <c r="K783" i="24" s="1"/>
  <c r="G782" i="24"/>
  <c r="K782" i="24" s="1"/>
  <c r="G781" i="24"/>
  <c r="I780" i="24"/>
  <c r="H780" i="24"/>
  <c r="G778" i="24"/>
  <c r="K778" i="24" s="1"/>
  <c r="G777" i="24"/>
  <c r="C79" i="25" s="1"/>
  <c r="E79" i="25" s="1"/>
  <c r="G776" i="24"/>
  <c r="C68" i="25" s="1"/>
  <c r="H775" i="24"/>
  <c r="G775" i="24"/>
  <c r="C58" i="25" s="1"/>
  <c r="G773" i="24"/>
  <c r="K773" i="24" s="1"/>
  <c r="I772" i="24"/>
  <c r="G771" i="24"/>
  <c r="K771" i="24" s="1"/>
  <c r="D770" i="24"/>
  <c r="I769" i="24"/>
  <c r="D769" i="24"/>
  <c r="D768" i="24"/>
  <c r="K766" i="24"/>
  <c r="K765" i="24"/>
  <c r="H764" i="24"/>
  <c r="K764" i="24" s="1"/>
  <c r="J754" i="24" s="1"/>
  <c r="J753" i="24" s="1"/>
  <c r="J737" i="24" s="1"/>
  <c r="K763" i="24"/>
  <c r="G762" i="24"/>
  <c r="G760" i="24" s="1"/>
  <c r="K761" i="24"/>
  <c r="I760" i="24"/>
  <c r="G759" i="24"/>
  <c r="K759" i="24" s="1"/>
  <c r="G758" i="24"/>
  <c r="K758" i="24" s="1"/>
  <c r="I757" i="24"/>
  <c r="H757" i="24"/>
  <c r="F756" i="24"/>
  <c r="E756" i="24"/>
  <c r="M754" i="24"/>
  <c r="I754" i="24"/>
  <c r="I753" i="24" s="1"/>
  <c r="G749" i="24"/>
  <c r="K749" i="24" s="1"/>
  <c r="G748" i="24"/>
  <c r="K748" i="24" s="1"/>
  <c r="G747" i="24"/>
  <c r="K747" i="24" s="1"/>
  <c r="G746" i="24"/>
  <c r="K746" i="24" s="1"/>
  <c r="G745" i="24"/>
  <c r="K745" i="24" s="1"/>
  <c r="E744" i="24"/>
  <c r="G744" i="24" s="1"/>
  <c r="K744" i="24" s="1"/>
  <c r="G743" i="24"/>
  <c r="K743" i="24" s="1"/>
  <c r="E742" i="24"/>
  <c r="G742" i="24" s="1"/>
  <c r="K742" i="24" s="1"/>
  <c r="G741" i="24"/>
  <c r="K741" i="24" s="1"/>
  <c r="G740" i="24"/>
  <c r="K740" i="24" s="1"/>
  <c r="E750" i="24"/>
  <c r="E754" i="24" s="1"/>
  <c r="G736" i="24"/>
  <c r="K736" i="24" s="1"/>
  <c r="G735" i="24"/>
  <c r="K735" i="24" s="1"/>
  <c r="G734" i="24"/>
  <c r="C67" i="25" s="1"/>
  <c r="G733" i="24"/>
  <c r="C57" i="25" s="1"/>
  <c r="I732" i="24"/>
  <c r="I730" i="24" s="1"/>
  <c r="G731" i="24"/>
  <c r="K731" i="24" s="1"/>
  <c r="G729" i="24"/>
  <c r="K729" i="24" s="1"/>
  <c r="I726" i="24"/>
  <c r="D725" i="24"/>
  <c r="D726" i="24" s="1"/>
  <c r="D727" i="24" s="1"/>
  <c r="K723" i="24"/>
  <c r="K722" i="24"/>
  <c r="H721" i="24"/>
  <c r="H719" i="24" s="1"/>
  <c r="H717" i="24" s="1"/>
  <c r="K720" i="24"/>
  <c r="G719" i="24"/>
  <c r="G717" i="24" s="1"/>
  <c r="K718" i="24"/>
  <c r="I717" i="24"/>
  <c r="G716" i="24"/>
  <c r="K716" i="24" s="1"/>
  <c r="G715" i="24"/>
  <c r="K715" i="24" s="1"/>
  <c r="I714" i="24"/>
  <c r="H714" i="24"/>
  <c r="F713" i="24"/>
  <c r="E713" i="24"/>
  <c r="D712" i="24"/>
  <c r="E712" i="24" s="1"/>
  <c r="G712" i="24" s="1"/>
  <c r="H712" i="24" s="1"/>
  <c r="K712" i="24" s="1"/>
  <c r="M711" i="24"/>
  <c r="I711" i="24"/>
  <c r="I710" i="24" s="1"/>
  <c r="D709" i="24"/>
  <c r="G709" i="24" s="1"/>
  <c r="I708" i="24"/>
  <c r="I685" i="24" s="1"/>
  <c r="H708" i="24"/>
  <c r="G706" i="24"/>
  <c r="K706" i="24" s="1"/>
  <c r="G705" i="24"/>
  <c r="K705" i="24" s="1"/>
  <c r="G704" i="24"/>
  <c r="K704" i="24" s="1"/>
  <c r="E703" i="24"/>
  <c r="G703" i="24" s="1"/>
  <c r="K703" i="24" s="1"/>
  <c r="E702" i="24"/>
  <c r="G702" i="24" s="1"/>
  <c r="K702" i="24" s="1"/>
  <c r="G701" i="24"/>
  <c r="K701" i="24" s="1"/>
  <c r="G700" i="24"/>
  <c r="K700" i="24" s="1"/>
  <c r="E699" i="24"/>
  <c r="G699" i="24" s="1"/>
  <c r="K699" i="24" s="1"/>
  <c r="G698" i="24"/>
  <c r="K698" i="24" s="1"/>
  <c r="G697" i="24"/>
  <c r="K697" i="24" s="1"/>
  <c r="G696" i="24"/>
  <c r="K696" i="24" s="1"/>
  <c r="I695" i="24"/>
  <c r="H695" i="24"/>
  <c r="G693" i="24"/>
  <c r="K693" i="24" s="1"/>
  <c r="G692" i="24"/>
  <c r="K692" i="24" s="1"/>
  <c r="G691" i="24"/>
  <c r="H691" i="24" s="1"/>
  <c r="G690" i="24"/>
  <c r="C56" i="25" s="1"/>
  <c r="E56" i="25" s="1"/>
  <c r="I689" i="24"/>
  <c r="I687" i="24" s="1"/>
  <c r="G688" i="24"/>
  <c r="K688" i="24" s="1"/>
  <c r="G686" i="24"/>
  <c r="K686" i="24" s="1"/>
  <c r="D684" i="24"/>
  <c r="I683" i="24"/>
  <c r="D683" i="24"/>
  <c r="D682" i="24"/>
  <c r="D680" i="24"/>
  <c r="K679" i="24"/>
  <c r="G678" i="24"/>
  <c r="K678" i="24" s="1"/>
  <c r="K677" i="24"/>
  <c r="K676" i="24"/>
  <c r="K675" i="24"/>
  <c r="H674" i="24"/>
  <c r="H672" i="24" s="1"/>
  <c r="H670" i="24" s="1"/>
  <c r="K673" i="24"/>
  <c r="G672" i="24"/>
  <c r="K671" i="24"/>
  <c r="I670" i="24"/>
  <c r="G669" i="24"/>
  <c r="G668" i="24"/>
  <c r="K668" i="24" s="1"/>
  <c r="I667" i="24"/>
  <c r="H667" i="24"/>
  <c r="F660" i="24"/>
  <c r="D660" i="24"/>
  <c r="D629" i="24" s="1"/>
  <c r="D659" i="24"/>
  <c r="E659" i="24" s="1"/>
  <c r="I658" i="24"/>
  <c r="I657" i="24" s="1"/>
  <c r="D658" i="24"/>
  <c r="D626" i="24" s="1"/>
  <c r="D656" i="24"/>
  <c r="G656" i="24" s="1"/>
  <c r="I655" i="24"/>
  <c r="H655" i="24"/>
  <c r="D654" i="24"/>
  <c r="E653" i="24"/>
  <c r="G653" i="24" s="1"/>
  <c r="K653" i="24" s="1"/>
  <c r="D653" i="24"/>
  <c r="G652" i="24"/>
  <c r="K652" i="24" s="1"/>
  <c r="G651" i="24"/>
  <c r="K651" i="24" s="1"/>
  <c r="E650" i="24"/>
  <c r="G650" i="24" s="1"/>
  <c r="K650" i="24" s="1"/>
  <c r="D650" i="24"/>
  <c r="E649" i="24"/>
  <c r="G649" i="24" s="1"/>
  <c r="K649" i="24" s="1"/>
  <c r="D649" i="24"/>
  <c r="G648" i="24"/>
  <c r="K648" i="24" s="1"/>
  <c r="E647" i="24"/>
  <c r="G647" i="24" s="1"/>
  <c r="K647" i="24" s="1"/>
  <c r="D647" i="24"/>
  <c r="D646" i="24"/>
  <c r="E646" i="24" s="1"/>
  <c r="E645" i="24"/>
  <c r="G645" i="24" s="1"/>
  <c r="K645" i="24" s="1"/>
  <c r="D645" i="24"/>
  <c r="G644" i="24"/>
  <c r="K644" i="24" s="1"/>
  <c r="E643" i="24"/>
  <c r="E660" i="24" s="1"/>
  <c r="E629" i="24" s="1"/>
  <c r="G629" i="24" s="1"/>
  <c r="K629" i="24" s="1"/>
  <c r="I642" i="24"/>
  <c r="H642" i="24"/>
  <c r="G640" i="24"/>
  <c r="K640" i="24" s="1"/>
  <c r="G638" i="24"/>
  <c r="K638" i="24" s="1"/>
  <c r="G637" i="24"/>
  <c r="C86" i="25" s="1"/>
  <c r="E86" i="25" s="1"/>
  <c r="G636" i="24"/>
  <c r="K636" i="24" s="1"/>
  <c r="G635" i="24"/>
  <c r="C65" i="25" s="1"/>
  <c r="G634" i="24"/>
  <c r="C55" i="25" s="1"/>
  <c r="I633" i="24"/>
  <c r="I631" i="24" s="1"/>
  <c r="G632" i="24"/>
  <c r="K632" i="24" s="1"/>
  <c r="G628" i="24"/>
  <c r="K628" i="24" s="1"/>
  <c r="G627" i="24"/>
  <c r="K627" i="24" s="1"/>
  <c r="I626" i="24"/>
  <c r="D625" i="24"/>
  <c r="K623" i="24"/>
  <c r="G622" i="24"/>
  <c r="K622" i="24" s="1"/>
  <c r="K621" i="24"/>
  <c r="K620" i="24"/>
  <c r="K619" i="24"/>
  <c r="H618" i="24"/>
  <c r="K618" i="24" s="1"/>
  <c r="J608" i="24" s="1"/>
  <c r="J607" i="24" s="1"/>
  <c r="J591" i="24" s="1"/>
  <c r="K617" i="24"/>
  <c r="G616" i="24"/>
  <c r="K615" i="24"/>
  <c r="I614" i="24"/>
  <c r="G613" i="24"/>
  <c r="K613" i="24" s="1"/>
  <c r="G612" i="24"/>
  <c r="I611" i="24"/>
  <c r="H611" i="24"/>
  <c r="F610" i="24"/>
  <c r="D609" i="24"/>
  <c r="E609" i="24" s="1"/>
  <c r="G609" i="24" s="1"/>
  <c r="M608" i="24"/>
  <c r="I608" i="24"/>
  <c r="I607" i="24" s="1"/>
  <c r="D606" i="24"/>
  <c r="G606" i="24" s="1"/>
  <c r="I605" i="24"/>
  <c r="I580" i="24" s="1"/>
  <c r="H605" i="24"/>
  <c r="E603" i="24"/>
  <c r="G603" i="24" s="1"/>
  <c r="K603" i="24" s="1"/>
  <c r="G602" i="24"/>
  <c r="K602" i="24" s="1"/>
  <c r="G601" i="24"/>
  <c r="K601" i="24" s="1"/>
  <c r="E600" i="24"/>
  <c r="G600" i="24" s="1"/>
  <c r="K600" i="24" s="1"/>
  <c r="E599" i="24"/>
  <c r="G599" i="24" s="1"/>
  <c r="K599" i="24" s="1"/>
  <c r="E598" i="24"/>
  <c r="G598" i="24" s="1"/>
  <c r="K598" i="24" s="1"/>
  <c r="E597" i="24"/>
  <c r="G597" i="24" s="1"/>
  <c r="K597" i="24" s="1"/>
  <c r="E596" i="24"/>
  <c r="G596" i="24" s="1"/>
  <c r="K596" i="24" s="1"/>
  <c r="E595" i="24"/>
  <c r="G594" i="24"/>
  <c r="K594" i="24" s="1"/>
  <c r="E593" i="24"/>
  <c r="G593" i="24" s="1"/>
  <c r="K593" i="24" s="1"/>
  <c r="I592" i="24"/>
  <c r="H592" i="24"/>
  <c r="G590" i="24"/>
  <c r="K590" i="24" s="1"/>
  <c r="G588" i="24"/>
  <c r="K588" i="24" s="1"/>
  <c r="G587" i="24"/>
  <c r="C85" i="25" s="1"/>
  <c r="E85" i="25" s="1"/>
  <c r="G586" i="24"/>
  <c r="K586" i="24" s="1"/>
  <c r="G585" i="24"/>
  <c r="C64" i="25" s="1"/>
  <c r="G584" i="24"/>
  <c r="C54" i="25" s="1"/>
  <c r="I583" i="24"/>
  <c r="I581" i="24" s="1"/>
  <c r="G582" i="24"/>
  <c r="C33" i="25" s="1"/>
  <c r="E33" i="25" s="1"/>
  <c r="D579" i="24"/>
  <c r="D578" i="24"/>
  <c r="G578" i="24" s="1"/>
  <c r="K578" i="24" s="1"/>
  <c r="G577" i="24"/>
  <c r="K577" i="24" s="1"/>
  <c r="I576" i="24"/>
  <c r="D576" i="24"/>
  <c r="D575" i="24"/>
  <c r="G572" i="24"/>
  <c r="G539" i="24" s="1"/>
  <c r="K571" i="24"/>
  <c r="G570" i="24"/>
  <c r="K569" i="24"/>
  <c r="H568" i="24"/>
  <c r="K568" i="24" s="1"/>
  <c r="J558" i="24" s="1"/>
  <c r="J557" i="24" s="1"/>
  <c r="J541" i="24" s="1"/>
  <c r="K567" i="24"/>
  <c r="G566" i="24"/>
  <c r="G565" i="24"/>
  <c r="G532" i="24" s="1"/>
  <c r="I564" i="24"/>
  <c r="G563" i="24"/>
  <c r="G562" i="24"/>
  <c r="K562" i="24" s="1"/>
  <c r="I561" i="24"/>
  <c r="H561" i="24"/>
  <c r="F560" i="24"/>
  <c r="K559" i="24"/>
  <c r="M558" i="24"/>
  <c r="I558" i="24"/>
  <c r="I557" i="24" s="1"/>
  <c r="K556" i="24"/>
  <c r="K555" i="24" s="1"/>
  <c r="I555" i="24"/>
  <c r="I530" i="24" s="1"/>
  <c r="H555" i="24"/>
  <c r="H530" i="24" s="1"/>
  <c r="G553" i="24"/>
  <c r="K553" i="24" s="1"/>
  <c r="G552" i="24"/>
  <c r="K552" i="24" s="1"/>
  <c r="G551" i="24"/>
  <c r="K551" i="24" s="1"/>
  <c r="G550" i="24"/>
  <c r="K550" i="24" s="1"/>
  <c r="G549" i="24"/>
  <c r="K549" i="24" s="1"/>
  <c r="E548" i="24"/>
  <c r="G548" i="24" s="1"/>
  <c r="K548" i="24" s="1"/>
  <c r="G547" i="24"/>
  <c r="K547" i="24" s="1"/>
  <c r="E546" i="24"/>
  <c r="G546" i="24" s="1"/>
  <c r="K546" i="24" s="1"/>
  <c r="E545" i="24"/>
  <c r="G545" i="24" s="1"/>
  <c r="K545" i="24" s="1"/>
  <c r="G544" i="24"/>
  <c r="K544" i="24" s="1"/>
  <c r="E560" i="24"/>
  <c r="E529" i="24" s="1"/>
  <c r="G529" i="24" s="1"/>
  <c r="K529" i="24" s="1"/>
  <c r="I542" i="24"/>
  <c r="H542" i="24"/>
  <c r="G540" i="24"/>
  <c r="K540" i="24" s="1"/>
  <c r="B539" i="24"/>
  <c r="G538" i="24"/>
  <c r="K538" i="24" s="1"/>
  <c r="G536" i="24"/>
  <c r="C74" i="25" s="1"/>
  <c r="E74" i="25" s="1"/>
  <c r="G535" i="24"/>
  <c r="H535" i="24" s="1"/>
  <c r="H533" i="24" s="1"/>
  <c r="H531" i="24" s="1"/>
  <c r="G534" i="24"/>
  <c r="C53" i="25" s="1"/>
  <c r="E53" i="25" s="1"/>
  <c r="I533" i="24"/>
  <c r="I531" i="24" s="1"/>
  <c r="D530" i="24"/>
  <c r="D529" i="24"/>
  <c r="D528" i="24"/>
  <c r="G528" i="24" s="1"/>
  <c r="K528" i="24" s="1"/>
  <c r="G527" i="24"/>
  <c r="K527" i="24" s="1"/>
  <c r="I526" i="24"/>
  <c r="D526" i="24"/>
  <c r="D525" i="24"/>
  <c r="D523" i="24"/>
  <c r="K522" i="24"/>
  <c r="K521" i="24"/>
  <c r="H520" i="24"/>
  <c r="K520" i="24" s="1"/>
  <c r="J509" i="24" s="1"/>
  <c r="J508" i="24" s="1"/>
  <c r="J497" i="24" s="1"/>
  <c r="K519" i="24"/>
  <c r="G518" i="24"/>
  <c r="K517" i="24"/>
  <c r="G516" i="24"/>
  <c r="K516" i="24" s="1"/>
  <c r="K515" i="24"/>
  <c r="K514" i="24"/>
  <c r="I513" i="24"/>
  <c r="G512" i="24"/>
  <c r="G511" i="24" s="1"/>
  <c r="I511" i="24"/>
  <c r="H511" i="24"/>
  <c r="F510" i="24"/>
  <c r="M509" i="24"/>
  <c r="I509" i="24"/>
  <c r="I508" i="24" s="1"/>
  <c r="E506" i="24"/>
  <c r="G506" i="24" s="1"/>
  <c r="K506" i="24" s="1"/>
  <c r="E505" i="24"/>
  <c r="G505" i="24" s="1"/>
  <c r="K505" i="24" s="1"/>
  <c r="D505" i="24"/>
  <c r="G504" i="24"/>
  <c r="K504" i="24" s="1"/>
  <c r="E503" i="24"/>
  <c r="G503" i="24" s="1"/>
  <c r="K503" i="24" s="1"/>
  <c r="G502" i="24"/>
  <c r="K502" i="24" s="1"/>
  <c r="G501" i="24"/>
  <c r="K501" i="24" s="1"/>
  <c r="G500" i="24"/>
  <c r="K500" i="24" s="1"/>
  <c r="E499" i="24"/>
  <c r="E510" i="24" s="1"/>
  <c r="I498" i="24"/>
  <c r="H498" i="24"/>
  <c r="D498" i="24"/>
  <c r="D483" i="24" s="1"/>
  <c r="G496" i="24"/>
  <c r="C83" i="25" s="1"/>
  <c r="E83" i="25" s="1"/>
  <c r="G495" i="24"/>
  <c r="K495" i="24" s="1"/>
  <c r="G494" i="24"/>
  <c r="C62" i="25" s="1"/>
  <c r="G493" i="24"/>
  <c r="K493" i="24" s="1"/>
  <c r="G491" i="24"/>
  <c r="C31" i="25" s="1"/>
  <c r="E31" i="25" s="1"/>
  <c r="G489" i="24"/>
  <c r="K489" i="24" s="1"/>
  <c r="G488" i="24"/>
  <c r="C23" i="25" s="1"/>
  <c r="E23" i="25" s="1"/>
  <c r="I487" i="24"/>
  <c r="G485" i="24"/>
  <c r="K485" i="24" s="1"/>
  <c r="I484" i="24"/>
  <c r="K481" i="24"/>
  <c r="K480" i="24"/>
  <c r="H479" i="24"/>
  <c r="K479" i="24" s="1"/>
  <c r="J468" i="24" s="1"/>
  <c r="J467" i="24" s="1"/>
  <c r="K478" i="24"/>
  <c r="G477" i="24"/>
  <c r="K476" i="24"/>
  <c r="G475" i="24"/>
  <c r="K475" i="24" s="1"/>
  <c r="G474" i="24"/>
  <c r="I473" i="24"/>
  <c r="G472" i="24"/>
  <c r="I471" i="24"/>
  <c r="H471" i="24"/>
  <c r="F470" i="24"/>
  <c r="M468" i="24"/>
  <c r="I468" i="24"/>
  <c r="I467" i="24" s="1"/>
  <c r="G466" i="24"/>
  <c r="K466" i="24" s="1"/>
  <c r="K465" i="24" s="1"/>
  <c r="I465" i="24"/>
  <c r="I444" i="24" s="1"/>
  <c r="H465" i="24"/>
  <c r="H444" i="24" s="1"/>
  <c r="E463" i="24"/>
  <c r="G463" i="24" s="1"/>
  <c r="K463" i="24" s="1"/>
  <c r="E462" i="24"/>
  <c r="G462" i="24" s="1"/>
  <c r="K462" i="24" s="1"/>
  <c r="E461" i="24"/>
  <c r="G461" i="24" s="1"/>
  <c r="K461" i="24" s="1"/>
  <c r="G460" i="24"/>
  <c r="K460" i="24" s="1"/>
  <c r="G459" i="24"/>
  <c r="K459" i="24" s="1"/>
  <c r="E458" i="24"/>
  <c r="G458" i="24" s="1"/>
  <c r="K458" i="24" s="1"/>
  <c r="G457" i="24"/>
  <c r="K457" i="24" s="1"/>
  <c r="E456" i="24"/>
  <c r="G456" i="24" s="1"/>
  <c r="K456" i="24" s="1"/>
  <c r="I455" i="24"/>
  <c r="H455" i="24"/>
  <c r="G453" i="24"/>
  <c r="C82" i="25" s="1"/>
  <c r="E82" i="25" s="1"/>
  <c r="G452" i="24"/>
  <c r="K452" i="24" s="1"/>
  <c r="G451" i="24"/>
  <c r="G450" i="24"/>
  <c r="K450" i="24" s="1"/>
  <c r="G448" i="24"/>
  <c r="C30" i="25" s="1"/>
  <c r="I445" i="24"/>
  <c r="D444" i="24"/>
  <c r="D443" i="24"/>
  <c r="D442" i="24"/>
  <c r="G442" i="24" s="1"/>
  <c r="K442" i="24" s="1"/>
  <c r="I441" i="24"/>
  <c r="D441" i="24"/>
  <c r="D440" i="24"/>
  <c r="K438" i="24"/>
  <c r="K437" i="24"/>
  <c r="H436" i="24"/>
  <c r="K436" i="24" s="1"/>
  <c r="J426" i="24" s="1"/>
  <c r="J425" i="24" s="1"/>
  <c r="J414" i="24" s="1"/>
  <c r="K435" i="24"/>
  <c r="G434" i="24"/>
  <c r="K433" i="24"/>
  <c r="G432" i="24"/>
  <c r="K432" i="24" s="1"/>
  <c r="K431" i="24"/>
  <c r="I430" i="24"/>
  <c r="G429" i="24"/>
  <c r="K429" i="24" s="1"/>
  <c r="K428" i="24" s="1"/>
  <c r="I428" i="24"/>
  <c r="H428" i="24"/>
  <c r="F427" i="24"/>
  <c r="I426" i="24"/>
  <c r="I425" i="24" s="1"/>
  <c r="E423" i="24"/>
  <c r="G423" i="24" s="1"/>
  <c r="K423" i="24" s="1"/>
  <c r="E422" i="24"/>
  <c r="G422" i="24" s="1"/>
  <c r="K422" i="24" s="1"/>
  <c r="E421" i="24"/>
  <c r="G421" i="24" s="1"/>
  <c r="K421" i="24" s="1"/>
  <c r="E420" i="24"/>
  <c r="G420" i="24" s="1"/>
  <c r="K420" i="24" s="1"/>
  <c r="G419" i="24"/>
  <c r="K419" i="24" s="1"/>
  <c r="E418" i="24"/>
  <c r="G418" i="24" s="1"/>
  <c r="K418" i="24" s="1"/>
  <c r="G417" i="24"/>
  <c r="K417" i="24" s="1"/>
  <c r="E416" i="24"/>
  <c r="E427" i="24" s="1"/>
  <c r="E404" i="24" s="1"/>
  <c r="G404" i="24" s="1"/>
  <c r="K404" i="24" s="1"/>
  <c r="I415" i="24"/>
  <c r="H415" i="24"/>
  <c r="G413" i="24"/>
  <c r="C81" i="25" s="1"/>
  <c r="E81" i="25" s="1"/>
  <c r="G412" i="24"/>
  <c r="K412" i="24" s="1"/>
  <c r="G411" i="24"/>
  <c r="G410" i="24"/>
  <c r="C50" i="25" s="1"/>
  <c r="E50" i="25" s="1"/>
  <c r="G408" i="24"/>
  <c r="C29" i="25" s="1"/>
  <c r="E29" i="25" s="1"/>
  <c r="G406" i="24"/>
  <c r="K406" i="24" s="1"/>
  <c r="I405" i="24"/>
  <c r="G403" i="24"/>
  <c r="K403" i="24" s="1"/>
  <c r="I402" i="24"/>
  <c r="D402" i="24"/>
  <c r="D401" i="24"/>
  <c r="D404" i="24" s="1"/>
  <c r="D399" i="24"/>
  <c r="F397" i="24"/>
  <c r="E397" i="24"/>
  <c r="G391" i="24"/>
  <c r="G390" i="24"/>
  <c r="K390" i="24" s="1"/>
  <c r="G389" i="24"/>
  <c r="K389" i="24" s="1"/>
  <c r="G388" i="24"/>
  <c r="K388" i="24" s="1"/>
  <c r="G387" i="24"/>
  <c r="K387" i="24" s="1"/>
  <c r="G386" i="24"/>
  <c r="K386" i="24" s="1"/>
  <c r="G385" i="24"/>
  <c r="K385" i="24" s="1"/>
  <c r="G384" i="24"/>
  <c r="G382" i="24"/>
  <c r="K382" i="24" s="1"/>
  <c r="G381" i="24"/>
  <c r="K381" i="24" s="1"/>
  <c r="G380" i="24"/>
  <c r="K380" i="24" s="1"/>
  <c r="G379" i="24"/>
  <c r="K379" i="24" s="1"/>
  <c r="G378" i="24"/>
  <c r="I377" i="24"/>
  <c r="H377" i="24"/>
  <c r="G376" i="24"/>
  <c r="K376" i="24" s="1"/>
  <c r="G375" i="24"/>
  <c r="K375" i="24" s="1"/>
  <c r="F373" i="24"/>
  <c r="G373" i="24" s="1"/>
  <c r="K373" i="24" s="1"/>
  <c r="G372" i="24"/>
  <c r="K372" i="24" s="1"/>
  <c r="G371" i="24"/>
  <c r="K371" i="24" s="1"/>
  <c r="G370" i="24"/>
  <c r="K370" i="24" s="1"/>
  <c r="G369" i="24"/>
  <c r="K369" i="24" s="1"/>
  <c r="G368" i="24"/>
  <c r="K368" i="24" s="1"/>
  <c r="F367" i="24"/>
  <c r="G367" i="24" s="1"/>
  <c r="K367" i="24" s="1"/>
  <c r="G366" i="24"/>
  <c r="K366" i="24" s="1"/>
  <c r="G365" i="24"/>
  <c r="K365" i="24" s="1"/>
  <c r="G364" i="24"/>
  <c r="K364" i="24" s="1"/>
  <c r="I363" i="24"/>
  <c r="H363" i="24"/>
  <c r="I361" i="24"/>
  <c r="I360" i="24" s="1"/>
  <c r="G361" i="24"/>
  <c r="H361" i="24" s="1"/>
  <c r="E359" i="24"/>
  <c r="G359" i="24" s="1"/>
  <c r="K359" i="24" s="1"/>
  <c r="G358" i="24"/>
  <c r="K358" i="24" s="1"/>
  <c r="K357" i="24"/>
  <c r="E356" i="24"/>
  <c r="G355" i="24"/>
  <c r="K355" i="24" s="1"/>
  <c r="G354" i="24"/>
  <c r="K354" i="24" s="1"/>
  <c r="G353" i="24"/>
  <c r="K353" i="24" s="1"/>
  <c r="G352" i="24"/>
  <c r="K352" i="24" s="1"/>
  <c r="G351" i="24"/>
  <c r="K351" i="24" s="1"/>
  <c r="G350" i="24"/>
  <c r="K350" i="24" s="1"/>
  <c r="I349" i="24"/>
  <c r="I348" i="24" s="1"/>
  <c r="H349" i="24"/>
  <c r="H348" i="24" s="1"/>
  <c r="G346" i="24"/>
  <c r="K346" i="24" s="1"/>
  <c r="G345" i="24"/>
  <c r="K345" i="24" s="1"/>
  <c r="G344" i="24"/>
  <c r="K344" i="24" s="1"/>
  <c r="G343" i="24"/>
  <c r="K343" i="24" s="1"/>
  <c r="G342" i="24"/>
  <c r="K342" i="24" s="1"/>
  <c r="G341" i="24"/>
  <c r="K341" i="24" s="1"/>
  <c r="G340" i="24"/>
  <c r="D339" i="24"/>
  <c r="G338" i="24"/>
  <c r="K338" i="24" s="1"/>
  <c r="G337" i="24"/>
  <c r="K337" i="24" s="1"/>
  <c r="G336" i="24"/>
  <c r="K336" i="24" s="1"/>
  <c r="G335" i="24"/>
  <c r="K335" i="24" s="1"/>
  <c r="G334" i="24"/>
  <c r="K334" i="24" s="1"/>
  <c r="I333" i="24"/>
  <c r="H333" i="24"/>
  <c r="G331" i="24"/>
  <c r="G329" i="24"/>
  <c r="K329" i="24" s="1"/>
  <c r="I327" i="24"/>
  <c r="G327" i="24"/>
  <c r="E323" i="24"/>
  <c r="G323" i="24" s="1"/>
  <c r="K319" i="24"/>
  <c r="I319" i="24"/>
  <c r="H319" i="24"/>
  <c r="G319" i="24"/>
  <c r="I318" i="24"/>
  <c r="I317" i="24" s="1"/>
  <c r="G318" i="24"/>
  <c r="G317" i="24" s="1"/>
  <c r="G315" i="24"/>
  <c r="K315" i="24" s="1"/>
  <c r="G314" i="24"/>
  <c r="K314" i="24" s="1"/>
  <c r="G313" i="24"/>
  <c r="K313" i="24" s="1"/>
  <c r="G311" i="24"/>
  <c r="K311" i="24" s="1"/>
  <c r="G310" i="24"/>
  <c r="K310" i="24" s="1"/>
  <c r="G309" i="24"/>
  <c r="K309" i="24" s="1"/>
  <c r="G308" i="24"/>
  <c r="K308" i="24" s="1"/>
  <c r="G307" i="24"/>
  <c r="K307" i="24" s="1"/>
  <c r="E306" i="24"/>
  <c r="E316" i="24" s="1"/>
  <c r="G316" i="24" s="1"/>
  <c r="K316" i="24" s="1"/>
  <c r="G305" i="24"/>
  <c r="K305" i="24" s="1"/>
  <c r="I304" i="24"/>
  <c r="I303" i="24" s="1"/>
  <c r="H304" i="24"/>
  <c r="H303" i="24" s="1"/>
  <c r="G301" i="24"/>
  <c r="K301" i="24" s="1"/>
  <c r="I300" i="24"/>
  <c r="I298" i="24" s="1"/>
  <c r="G300" i="24"/>
  <c r="E297" i="24"/>
  <c r="G297" i="24" s="1"/>
  <c r="K297" i="24" s="1"/>
  <c r="G288" i="24"/>
  <c r="G287" i="24"/>
  <c r="K287" i="24" s="1"/>
  <c r="I286" i="24"/>
  <c r="H286" i="24"/>
  <c r="I285" i="24"/>
  <c r="I284" i="24" s="1"/>
  <c r="G285" i="24"/>
  <c r="G284" i="24" s="1"/>
  <c r="K282" i="24"/>
  <c r="G281" i="24"/>
  <c r="K281" i="24" s="1"/>
  <c r="G280" i="24"/>
  <c r="K280" i="24" s="1"/>
  <c r="G278" i="24"/>
  <c r="K278" i="24" s="1"/>
  <c r="G277" i="24"/>
  <c r="K277" i="24" s="1"/>
  <c r="G276" i="24"/>
  <c r="K276" i="24" s="1"/>
  <c r="G275" i="24"/>
  <c r="K275" i="24" s="1"/>
  <c r="G274" i="24"/>
  <c r="K274" i="24" s="1"/>
  <c r="E273" i="24"/>
  <c r="E279" i="24" s="1"/>
  <c r="G279" i="24" s="1"/>
  <c r="K279" i="24" s="1"/>
  <c r="G272" i="24"/>
  <c r="K272" i="24" s="1"/>
  <c r="I271" i="24"/>
  <c r="I270" i="24" s="1"/>
  <c r="H271" i="24"/>
  <c r="H270" i="24" s="1"/>
  <c r="F268" i="24"/>
  <c r="G268" i="24" s="1"/>
  <c r="K268" i="24" s="1"/>
  <c r="G267" i="24"/>
  <c r="K267" i="24" s="1"/>
  <c r="G266" i="24"/>
  <c r="K266" i="24" s="1"/>
  <c r="I265" i="24"/>
  <c r="I263" i="24" s="1"/>
  <c r="G265" i="24"/>
  <c r="H265" i="24" s="1"/>
  <c r="H263" i="24" s="1"/>
  <c r="T18" i="13" s="1"/>
  <c r="E262" i="24"/>
  <c r="G262" i="24" s="1"/>
  <c r="K262" i="24" s="1"/>
  <c r="F256" i="24"/>
  <c r="G256" i="24" s="1"/>
  <c r="K256" i="24" s="1"/>
  <c r="G255" i="24"/>
  <c r="K255" i="24" s="1"/>
  <c r="G254" i="24"/>
  <c r="K254" i="24" s="1"/>
  <c r="G253" i="24"/>
  <c r="K253" i="24" s="1"/>
  <c r="I252" i="24"/>
  <c r="H252" i="24"/>
  <c r="I251" i="24"/>
  <c r="I250" i="24" s="1"/>
  <c r="G251" i="24"/>
  <c r="G250" i="24" s="1"/>
  <c r="G249" i="24"/>
  <c r="K249" i="24" s="1"/>
  <c r="K248" i="24" s="1"/>
  <c r="E247" i="24"/>
  <c r="G247" i="24" s="1"/>
  <c r="K247" i="24" s="1"/>
  <c r="E246" i="24"/>
  <c r="G246" i="24" s="1"/>
  <c r="K246" i="24" s="1"/>
  <c r="G245" i="24"/>
  <c r="K245" i="24" s="1"/>
  <c r="G244" i="24"/>
  <c r="K244" i="24" s="1"/>
  <c r="E243" i="24"/>
  <c r="G243" i="24" s="1"/>
  <c r="K243" i="24" s="1"/>
  <c r="G242" i="24"/>
  <c r="K242" i="24" s="1"/>
  <c r="G241" i="24"/>
  <c r="K241" i="24" s="1"/>
  <c r="G240" i="24"/>
  <c r="K240" i="24" s="1"/>
  <c r="G239" i="24"/>
  <c r="K239" i="24" s="1"/>
  <c r="G238" i="24"/>
  <c r="K238" i="24" s="1"/>
  <c r="G237" i="24"/>
  <c r="K237" i="24" s="1"/>
  <c r="I236" i="24"/>
  <c r="I235" i="24" s="1"/>
  <c r="H236" i="24"/>
  <c r="H235" i="24" s="1"/>
  <c r="G233" i="24"/>
  <c r="K233" i="24" s="1"/>
  <c r="N232" i="24"/>
  <c r="G232" i="24"/>
  <c r="K232" i="24" s="1"/>
  <c r="F231" i="24"/>
  <c r="E231" i="24"/>
  <c r="F230" i="24"/>
  <c r="G230" i="24" s="1"/>
  <c r="K230" i="24" s="1"/>
  <c r="N225" i="24" s="1"/>
  <c r="F19" i="10" s="1"/>
  <c r="F18" i="10" s="1"/>
  <c r="G229" i="24"/>
  <c r="K229" i="24" s="1"/>
  <c r="G228" i="24"/>
  <c r="G226" i="24"/>
  <c r="K226" i="24" s="1"/>
  <c r="I225" i="24"/>
  <c r="I223" i="24" s="1"/>
  <c r="G225" i="24"/>
  <c r="H225" i="24" s="1"/>
  <c r="H224" i="24"/>
  <c r="E222" i="24"/>
  <c r="D222" i="24"/>
  <c r="K219" i="24"/>
  <c r="K218" i="24"/>
  <c r="K217" i="24"/>
  <c r="K215" i="24"/>
  <c r="G214" i="24"/>
  <c r="K214" i="24" s="1"/>
  <c r="G213" i="24"/>
  <c r="G192" i="24" s="1"/>
  <c r="K192" i="24" s="1"/>
  <c r="G212" i="24"/>
  <c r="K212" i="24" s="1"/>
  <c r="H211" i="24"/>
  <c r="E210" i="24"/>
  <c r="G210" i="24" s="1"/>
  <c r="K209" i="24"/>
  <c r="I208" i="24"/>
  <c r="I207" i="24" s="1"/>
  <c r="D208" i="24"/>
  <c r="D210" i="24" s="1"/>
  <c r="E206" i="24"/>
  <c r="G206" i="24" s="1"/>
  <c r="K206" i="24" s="1"/>
  <c r="E205" i="24"/>
  <c r="G205" i="24" s="1"/>
  <c r="K205" i="24" s="1"/>
  <c r="G204" i="24"/>
  <c r="K204" i="24" s="1"/>
  <c r="G203" i="24"/>
  <c r="K203" i="24" s="1"/>
  <c r="G202" i="24"/>
  <c r="K202" i="24" s="1"/>
  <c r="E201" i="24"/>
  <c r="G201" i="24" s="1"/>
  <c r="K201" i="24" s="1"/>
  <c r="G200" i="24"/>
  <c r="K200" i="24" s="1"/>
  <c r="G199" i="24"/>
  <c r="K199" i="24" s="1"/>
  <c r="G198" i="24"/>
  <c r="K198" i="24" s="1"/>
  <c r="H197" i="24"/>
  <c r="H196" i="24" s="1"/>
  <c r="G194" i="24"/>
  <c r="K194" i="24" s="1"/>
  <c r="D187" i="24"/>
  <c r="D189" i="24" s="1"/>
  <c r="E186" i="24"/>
  <c r="K185" i="24"/>
  <c r="K184" i="24" s="1"/>
  <c r="G184" i="24"/>
  <c r="K183" i="24"/>
  <c r="K182" i="24"/>
  <c r="K181" i="24"/>
  <c r="K180" i="24"/>
  <c r="K178" i="24"/>
  <c r="K177" i="24"/>
  <c r="I176" i="24"/>
  <c r="H176" i="24"/>
  <c r="K175" i="24"/>
  <c r="K174" i="24"/>
  <c r="G173" i="24"/>
  <c r="K173" i="24" s="1"/>
  <c r="K172" i="24"/>
  <c r="K171" i="24"/>
  <c r="K170" i="24"/>
  <c r="K169" i="24"/>
  <c r="I168" i="24"/>
  <c r="H168" i="24"/>
  <c r="K167" i="24"/>
  <c r="K166" i="24"/>
  <c r="K165" i="24"/>
  <c r="G164" i="24"/>
  <c r="K164" i="24" s="1"/>
  <c r="K163" i="24"/>
  <c r="K162" i="24"/>
  <c r="I161" i="24"/>
  <c r="H161" i="24"/>
  <c r="G159" i="24"/>
  <c r="K159" i="24" s="1"/>
  <c r="F158" i="24"/>
  <c r="G158" i="24" s="1"/>
  <c r="I157" i="24"/>
  <c r="H157" i="24"/>
  <c r="E156" i="24"/>
  <c r="G156" i="24" s="1"/>
  <c r="H155" i="24"/>
  <c r="G155" i="24" s="1"/>
  <c r="K155" i="24" s="1"/>
  <c r="I154" i="24"/>
  <c r="I153" i="24" s="1"/>
  <c r="G154" i="24"/>
  <c r="D153" i="24"/>
  <c r="E152" i="24"/>
  <c r="G152" i="24" s="1"/>
  <c r="K152" i="24" s="1"/>
  <c r="E151" i="24"/>
  <c r="G151" i="24" s="1"/>
  <c r="K151" i="24" s="1"/>
  <c r="G150" i="24"/>
  <c r="K150" i="24" s="1"/>
  <c r="G149" i="24"/>
  <c r="K149" i="24" s="1"/>
  <c r="G148" i="24"/>
  <c r="K148" i="24" s="1"/>
  <c r="E147" i="24"/>
  <c r="G147" i="24" s="1"/>
  <c r="K147" i="24" s="1"/>
  <c r="G146" i="24"/>
  <c r="K146" i="24" s="1"/>
  <c r="G145" i="24"/>
  <c r="K145" i="24" s="1"/>
  <c r="H144" i="24"/>
  <c r="G141" i="24"/>
  <c r="K141" i="24" s="1"/>
  <c r="K140" i="24" s="1"/>
  <c r="F13" i="13" s="1"/>
  <c r="I140" i="24"/>
  <c r="H140" i="24"/>
  <c r="K138" i="24"/>
  <c r="G136" i="24"/>
  <c r="C99" i="25" s="1"/>
  <c r="E99" i="25" s="1"/>
  <c r="E98" i="25" s="1"/>
  <c r="E51" i="23" s="1"/>
  <c r="G51" i="23" s="1"/>
  <c r="G135" i="24"/>
  <c r="K133" i="24"/>
  <c r="E67" i="23" s="1"/>
  <c r="G67" i="23" s="1"/>
  <c r="G132" i="24"/>
  <c r="K132" i="24" s="1"/>
  <c r="G130" i="24"/>
  <c r="K130" i="24" s="1"/>
  <c r="G129" i="24"/>
  <c r="K129" i="24" s="1"/>
  <c r="G128" i="24"/>
  <c r="K128" i="24" s="1"/>
  <c r="E66" i="23" s="1"/>
  <c r="G66" i="23" s="1"/>
  <c r="G127" i="24"/>
  <c r="K127" i="24" s="1"/>
  <c r="E63" i="23" s="1"/>
  <c r="I126" i="24"/>
  <c r="H126" i="24"/>
  <c r="G125" i="24"/>
  <c r="K125" i="24" s="1"/>
  <c r="K13" i="13" s="1"/>
  <c r="G124" i="24"/>
  <c r="K124" i="24" s="1"/>
  <c r="L13" i="13" s="1"/>
  <c r="G123" i="24"/>
  <c r="K123" i="24" s="1"/>
  <c r="J13" i="13" s="1"/>
  <c r="G121" i="24"/>
  <c r="K121" i="24" s="1"/>
  <c r="G120" i="24"/>
  <c r="K120" i="24" s="1"/>
  <c r="E44" i="23" s="1"/>
  <c r="I119" i="24"/>
  <c r="H119" i="24"/>
  <c r="F117" i="24"/>
  <c r="E117" i="24"/>
  <c r="D115" i="24"/>
  <c r="G115" i="24" s="1"/>
  <c r="D114" i="24"/>
  <c r="K112" i="24"/>
  <c r="K111" i="24" s="1"/>
  <c r="G111" i="24"/>
  <c r="K110" i="24"/>
  <c r="K109" i="24" s="1"/>
  <c r="G109" i="24"/>
  <c r="G79" i="24" s="1"/>
  <c r="K79" i="24" s="1"/>
  <c r="R12" i="13" s="1"/>
  <c r="K108" i="24"/>
  <c r="K107" i="24"/>
  <c r="K106" i="24"/>
  <c r="K105" i="24"/>
  <c r="K104" i="24"/>
  <c r="K103" i="24"/>
  <c r="K102" i="24"/>
  <c r="I101" i="24"/>
  <c r="I100" i="24" s="1"/>
  <c r="H101" i="24"/>
  <c r="H100" i="24" s="1"/>
  <c r="G101" i="24"/>
  <c r="F98" i="24"/>
  <c r="G98" i="24" s="1"/>
  <c r="G67" i="24" s="1"/>
  <c r="K67" i="24" s="1"/>
  <c r="E97" i="24"/>
  <c r="E68" i="24" s="1"/>
  <c r="H96" i="24"/>
  <c r="G96" i="24" s="1"/>
  <c r="K96" i="24" s="1"/>
  <c r="I95" i="24"/>
  <c r="I66" i="24" s="1"/>
  <c r="G95" i="24"/>
  <c r="D94" i="24"/>
  <c r="E93" i="24"/>
  <c r="G93" i="24" s="1"/>
  <c r="K93" i="24" s="1"/>
  <c r="E92" i="24"/>
  <c r="G92" i="24" s="1"/>
  <c r="K92" i="24" s="1"/>
  <c r="G91" i="24"/>
  <c r="K91" i="24" s="1"/>
  <c r="G90" i="24"/>
  <c r="K90" i="24" s="1"/>
  <c r="G89" i="24"/>
  <c r="K89" i="24" s="1"/>
  <c r="E88" i="24"/>
  <c r="G88" i="24" s="1"/>
  <c r="K88" i="24" s="1"/>
  <c r="G87" i="24"/>
  <c r="K87" i="24" s="1"/>
  <c r="G86" i="24"/>
  <c r="K86" i="24" s="1"/>
  <c r="H85" i="24"/>
  <c r="G82" i="24"/>
  <c r="K82" i="24" s="1"/>
  <c r="K81" i="24" s="1"/>
  <c r="H12" i="13" s="1"/>
  <c r="G80" i="24"/>
  <c r="K80" i="24" s="1"/>
  <c r="E64" i="23" s="1"/>
  <c r="G64" i="23" s="1"/>
  <c r="G78" i="24"/>
  <c r="K78" i="24" s="1"/>
  <c r="M12" i="13" s="1"/>
  <c r="G77" i="24"/>
  <c r="K77" i="24" s="1"/>
  <c r="G76" i="24"/>
  <c r="K76" i="24" s="1"/>
  <c r="G75" i="24"/>
  <c r="K75" i="24" s="1"/>
  <c r="G74" i="24"/>
  <c r="K74" i="24" s="1"/>
  <c r="O12" i="13" s="1"/>
  <c r="G73" i="24"/>
  <c r="K73" i="24" s="1"/>
  <c r="E40" i="23" s="1"/>
  <c r="G72" i="24"/>
  <c r="K72" i="24" s="1"/>
  <c r="E41" i="23" s="1"/>
  <c r="G41" i="23" s="1"/>
  <c r="I71" i="24"/>
  <c r="I70" i="24" s="1"/>
  <c r="H70" i="24"/>
  <c r="F68" i="24"/>
  <c r="G66" i="24"/>
  <c r="H66" i="24" s="1"/>
  <c r="E63" i="24"/>
  <c r="G63" i="24" s="1"/>
  <c r="K63" i="24" s="1"/>
  <c r="K62" i="24"/>
  <c r="F61" i="24"/>
  <c r="G61" i="24" s="1"/>
  <c r="K61" i="24" s="1"/>
  <c r="F60" i="24"/>
  <c r="G60" i="24" s="1"/>
  <c r="K60" i="24" s="1"/>
  <c r="F58" i="24"/>
  <c r="G58" i="24" s="1"/>
  <c r="K57" i="24"/>
  <c r="K56" i="24" s="1"/>
  <c r="I56" i="24"/>
  <c r="H56" i="24"/>
  <c r="G56" i="24"/>
  <c r="G27" i="24" s="1"/>
  <c r="K27" i="24" s="1"/>
  <c r="M55" i="24"/>
  <c r="G55" i="24"/>
  <c r="K55" i="24" s="1"/>
  <c r="K54" i="24"/>
  <c r="M53" i="24"/>
  <c r="G52" i="24"/>
  <c r="G50" i="24" s="1"/>
  <c r="K51" i="24"/>
  <c r="K49" i="24"/>
  <c r="K47" i="24"/>
  <c r="H46" i="24"/>
  <c r="G45" i="24"/>
  <c r="K45" i="24" s="1"/>
  <c r="K18" i="24" s="1"/>
  <c r="E65" i="23" s="1"/>
  <c r="G65" i="23" s="1"/>
  <c r="K44" i="24"/>
  <c r="I43" i="24"/>
  <c r="I42" i="24" s="1"/>
  <c r="D43" i="24"/>
  <c r="M43" i="24" s="1"/>
  <c r="G41" i="24"/>
  <c r="G40" i="24" s="1"/>
  <c r="D40" i="24"/>
  <c r="E39" i="24"/>
  <c r="E38" i="24"/>
  <c r="G38" i="24" s="1"/>
  <c r="K38" i="24" s="1"/>
  <c r="G37" i="24"/>
  <c r="K37" i="24" s="1"/>
  <c r="G36" i="24"/>
  <c r="K36" i="24" s="1"/>
  <c r="G35" i="24"/>
  <c r="K35" i="24" s="1"/>
  <c r="E34" i="24"/>
  <c r="G34" i="24" s="1"/>
  <c r="K34" i="24" s="1"/>
  <c r="G33" i="24"/>
  <c r="K33" i="24" s="1"/>
  <c r="G32" i="24"/>
  <c r="K32" i="24" s="1"/>
  <c r="G31" i="24"/>
  <c r="K31" i="24" s="1"/>
  <c r="I29" i="24"/>
  <c r="H29" i="24"/>
  <c r="B27" i="24"/>
  <c r="B26" i="24"/>
  <c r="F25" i="24"/>
  <c r="E25" i="24"/>
  <c r="D25" i="24"/>
  <c r="C25" i="24"/>
  <c r="G24" i="24"/>
  <c r="K24" i="24" s="1"/>
  <c r="I23" i="24"/>
  <c r="H23" i="24"/>
  <c r="G22" i="24"/>
  <c r="I18" i="24"/>
  <c r="H18" i="24"/>
  <c r="F18" i="24"/>
  <c r="E18" i="24"/>
  <c r="D18" i="24"/>
  <c r="C18" i="24"/>
  <c r="E17" i="24"/>
  <c r="G17" i="24" s="1"/>
  <c r="K17" i="24" s="1"/>
  <c r="G16" i="24"/>
  <c r="K16" i="24" s="1"/>
  <c r="S11" i="13" s="1"/>
  <c r="B16" i="24"/>
  <c r="G15" i="24"/>
  <c r="K15" i="24" s="1"/>
  <c r="D14" i="24"/>
  <c r="D12" i="24"/>
  <c r="D13" i="24" s="1"/>
  <c r="D10" i="24"/>
  <c r="G659" i="24" l="1"/>
  <c r="H659" i="24" s="1"/>
  <c r="H685" i="24"/>
  <c r="I641" i="24"/>
  <c r="H609" i="24"/>
  <c r="H580" i="24" s="1"/>
  <c r="K609" i="24"/>
  <c r="K22" i="24"/>
  <c r="K19" i="24" s="1"/>
  <c r="G19" i="24"/>
  <c r="D630" i="24"/>
  <c r="K812" i="24"/>
  <c r="L812" i="24" s="1"/>
  <c r="G810" i="24"/>
  <c r="G809" i="24" s="1"/>
  <c r="K811" i="24"/>
  <c r="K810" i="24" s="1"/>
  <c r="G407" i="24"/>
  <c r="K407" i="24" s="1"/>
  <c r="G611" i="24"/>
  <c r="G533" i="24"/>
  <c r="G409" i="24"/>
  <c r="K46" i="24"/>
  <c r="N46" i="24" s="1"/>
  <c r="K582" i="24"/>
  <c r="E60" i="23"/>
  <c r="G60" i="23" s="1"/>
  <c r="N808" i="24"/>
  <c r="G18" i="24"/>
  <c r="I724" i="24"/>
  <c r="C69" i="25"/>
  <c r="E69" i="25" s="1"/>
  <c r="F67" i="24"/>
  <c r="K518" i="24"/>
  <c r="K513" i="24" s="1"/>
  <c r="I591" i="24"/>
  <c r="E62" i="23"/>
  <c r="G63" i="23"/>
  <c r="G62" i="23" s="1"/>
  <c r="G44" i="23"/>
  <c r="G332" i="24"/>
  <c r="K332" i="24" s="1"/>
  <c r="H11" i="13"/>
  <c r="E69" i="23"/>
  <c r="E68" i="23" s="1"/>
  <c r="N66" i="24"/>
  <c r="G40" i="23"/>
  <c r="G39" i="23" s="1"/>
  <c r="E39" i="23"/>
  <c r="F14" i="10"/>
  <c r="G428" i="24"/>
  <c r="C47" i="25"/>
  <c r="E48" i="28"/>
  <c r="G48" i="28" s="1"/>
  <c r="K252" i="24"/>
  <c r="G427" i="24"/>
  <c r="K427" i="24" s="1"/>
  <c r="G94" i="24"/>
  <c r="G208" i="24"/>
  <c r="H208" i="24" s="1"/>
  <c r="H207" i="24" s="1"/>
  <c r="H188" i="24" s="1"/>
  <c r="H186" i="24" s="1"/>
  <c r="T14" i="13" s="1"/>
  <c r="K584" i="24"/>
  <c r="K801" i="24"/>
  <c r="K799" i="24" s="1"/>
  <c r="E50" i="28"/>
  <c r="G50" i="28" s="1"/>
  <c r="E46" i="28"/>
  <c r="G46" i="28" s="1"/>
  <c r="G122" i="24"/>
  <c r="K122" i="24" s="1"/>
  <c r="K587" i="24"/>
  <c r="E32" i="28"/>
  <c r="G32" i="28" s="1"/>
  <c r="G161" i="24"/>
  <c r="K228" i="24"/>
  <c r="K227" i="24" s="1"/>
  <c r="G227" i="24"/>
  <c r="K752" i="24"/>
  <c r="K751" i="24" s="1"/>
  <c r="G751" i="24"/>
  <c r="G728" i="24" s="1"/>
  <c r="K728" i="24" s="1"/>
  <c r="H434" i="24"/>
  <c r="H430" i="24" s="1"/>
  <c r="E36" i="28"/>
  <c r="G36" i="28" s="1"/>
  <c r="E45" i="28"/>
  <c r="G45" i="28" s="1"/>
  <c r="E44" i="28"/>
  <c r="I414" i="24"/>
  <c r="K534" i="24"/>
  <c r="G614" i="24"/>
  <c r="E37" i="28"/>
  <c r="G37" i="28" s="1"/>
  <c r="G78" i="23"/>
  <c r="G90" i="23"/>
  <c r="C74" i="23"/>
  <c r="E74" i="23"/>
  <c r="F76" i="23"/>
  <c r="G655" i="24"/>
  <c r="K656" i="24"/>
  <c r="K655" i="24" s="1"/>
  <c r="G374" i="24"/>
  <c r="K374" i="24" s="1"/>
  <c r="G513" i="24"/>
  <c r="G193" i="24"/>
  <c r="K193" i="24" s="1"/>
  <c r="I737" i="24"/>
  <c r="H118" i="24"/>
  <c r="I302" i="24"/>
  <c r="G465" i="24"/>
  <c r="G444" i="24" s="1"/>
  <c r="K444" i="24" s="1"/>
  <c r="K488" i="24"/>
  <c r="D580" i="24"/>
  <c r="I630" i="24"/>
  <c r="I624" i="24" s="1"/>
  <c r="K496" i="24"/>
  <c r="K59" i="24"/>
  <c r="H362" i="24"/>
  <c r="G795" i="24"/>
  <c r="K795" i="24" s="1"/>
  <c r="G490" i="24"/>
  <c r="K490" i="24" s="1"/>
  <c r="D398" i="24"/>
  <c r="G583" i="24"/>
  <c r="E792" i="24"/>
  <c r="G792" i="24" s="1"/>
  <c r="H585" i="24"/>
  <c r="K585" i="24" s="1"/>
  <c r="J576" i="24" s="1"/>
  <c r="J574" i="24" s="1"/>
  <c r="C34" i="25"/>
  <c r="E34" i="25" s="1"/>
  <c r="G561" i="24"/>
  <c r="H64" i="24"/>
  <c r="T12" i="13" s="1"/>
  <c r="H160" i="24"/>
  <c r="C88" i="25"/>
  <c r="E88" i="25" s="1"/>
  <c r="H251" i="24"/>
  <c r="K251" i="24" s="1"/>
  <c r="K250" i="24" s="1"/>
  <c r="K41" i="24"/>
  <c r="K40" i="24" s="1"/>
  <c r="G231" i="24"/>
  <c r="K231" i="24" s="1"/>
  <c r="G589" i="24"/>
  <c r="K589" i="24" s="1"/>
  <c r="G306" i="24"/>
  <c r="K306" i="24" s="1"/>
  <c r="G339" i="24"/>
  <c r="K339" i="24" s="1"/>
  <c r="G360" i="24"/>
  <c r="I482" i="24"/>
  <c r="C21" i="25"/>
  <c r="E21" i="25" s="1"/>
  <c r="G713" i="24"/>
  <c r="K713" i="24" s="1"/>
  <c r="K690" i="24"/>
  <c r="I94" i="24"/>
  <c r="I83" i="24" s="1"/>
  <c r="K101" i="24"/>
  <c r="K100" i="24" s="1"/>
  <c r="G140" i="24"/>
  <c r="G397" i="24"/>
  <c r="K397" i="24" s="1"/>
  <c r="K408" i="24"/>
  <c r="K612" i="24"/>
  <c r="K611" i="24" s="1"/>
  <c r="G714" i="24"/>
  <c r="C35" i="25"/>
  <c r="E35" i="25" s="1"/>
  <c r="P12" i="13"/>
  <c r="H95" i="24"/>
  <c r="H94" i="24" s="1"/>
  <c r="H83" i="24" s="1"/>
  <c r="E197" i="24"/>
  <c r="E187" i="24" s="1"/>
  <c r="I269" i="24"/>
  <c r="I362" i="24"/>
  <c r="I347" i="24" s="1"/>
  <c r="C72" i="25"/>
  <c r="E72" i="25" s="1"/>
  <c r="I64" i="24"/>
  <c r="K168" i="24"/>
  <c r="E283" i="24"/>
  <c r="G283" i="24" s="1"/>
  <c r="K283" i="24" s="1"/>
  <c r="K410" i="24"/>
  <c r="D685" i="24"/>
  <c r="E707" i="24"/>
  <c r="E711" i="24" s="1"/>
  <c r="E683" i="24" s="1"/>
  <c r="G683" i="24" s="1"/>
  <c r="H683" i="24" s="1"/>
  <c r="C91" i="25"/>
  <c r="E91" i="25" s="1"/>
  <c r="E312" i="24"/>
  <c r="G312" i="24" s="1"/>
  <c r="K312" i="24" s="1"/>
  <c r="G639" i="24"/>
  <c r="K639" i="24" s="1"/>
  <c r="C76" i="25"/>
  <c r="E76" i="25" s="1"/>
  <c r="G273" i="24"/>
  <c r="K273" i="24" s="1"/>
  <c r="K796" i="24"/>
  <c r="C78" i="25"/>
  <c r="E78" i="25" s="1"/>
  <c r="D66" i="25"/>
  <c r="D45" i="25" s="1"/>
  <c r="D15" i="25" s="1"/>
  <c r="K691" i="24"/>
  <c r="J683" i="24" s="1"/>
  <c r="J681" i="24" s="1"/>
  <c r="H689" i="24"/>
  <c r="H687" i="24" s="1"/>
  <c r="K156" i="24"/>
  <c r="G117" i="24"/>
  <c r="K117" i="24" s="1"/>
  <c r="H360" i="24"/>
  <c r="K361" i="24"/>
  <c r="K360" i="24" s="1"/>
  <c r="C46" i="25"/>
  <c r="E57" i="25"/>
  <c r="K539" i="24"/>
  <c r="C95" i="25"/>
  <c r="E54" i="25"/>
  <c r="C43" i="25"/>
  <c r="K363" i="24"/>
  <c r="C32" i="25"/>
  <c r="E32" i="25" s="1"/>
  <c r="K532" i="24"/>
  <c r="K453" i="24"/>
  <c r="I694" i="24"/>
  <c r="R11" i="13"/>
  <c r="K135" i="24"/>
  <c r="I160" i="24"/>
  <c r="I142" i="24" s="1"/>
  <c r="I439" i="24"/>
  <c r="K491" i="24"/>
  <c r="G499" i="24"/>
  <c r="K499" i="24" s="1"/>
  <c r="I541" i="24"/>
  <c r="K565" i="24"/>
  <c r="K757" i="24"/>
  <c r="K777" i="24"/>
  <c r="C36" i="25"/>
  <c r="C52" i="25"/>
  <c r="E52" i="25" s="1"/>
  <c r="C93" i="25"/>
  <c r="E93" i="25" s="1"/>
  <c r="I222" i="24"/>
  <c r="K674" i="24"/>
  <c r="H223" i="24"/>
  <c r="T17" i="13" s="1"/>
  <c r="I574" i="24"/>
  <c r="C37" i="25"/>
  <c r="H734" i="24"/>
  <c r="H285" i="24"/>
  <c r="H284" i="24" s="1"/>
  <c r="H269" i="24" s="1"/>
  <c r="E30" i="24"/>
  <c r="E12" i="24" s="1"/>
  <c r="K136" i="24"/>
  <c r="K161" i="24"/>
  <c r="K333" i="24"/>
  <c r="I400" i="24"/>
  <c r="K413" i="24"/>
  <c r="K448" i="24"/>
  <c r="E507" i="24"/>
  <c r="G507" i="24" s="1"/>
  <c r="K507" i="24" s="1"/>
  <c r="K535" i="24"/>
  <c r="J526" i="24" s="1"/>
  <c r="J524" i="24" s="1"/>
  <c r="H566" i="24"/>
  <c r="H564" i="24" s="1"/>
  <c r="G633" i="24"/>
  <c r="K714" i="24"/>
  <c r="G796" i="24"/>
  <c r="C75" i="25"/>
  <c r="E75" i="25" s="1"/>
  <c r="K637" i="24"/>
  <c r="K144" i="24"/>
  <c r="K143" i="24" s="1"/>
  <c r="I28" i="24"/>
  <c r="I13" i="24"/>
  <c r="I11" i="24" s="1"/>
  <c r="G39" i="24"/>
  <c r="K39" i="24" s="1"/>
  <c r="K30" i="24" s="1"/>
  <c r="G383" i="24"/>
  <c r="K383" i="24" s="1"/>
  <c r="E486" i="24"/>
  <c r="G486" i="24" s="1"/>
  <c r="K486" i="24" s="1"/>
  <c r="K566" i="24"/>
  <c r="I779" i="24"/>
  <c r="C60" i="25"/>
  <c r="C39" i="25" s="1"/>
  <c r="C73" i="25"/>
  <c r="E73" i="25" s="1"/>
  <c r="C66" i="25"/>
  <c r="C45" i="25" s="1"/>
  <c r="I118" i="24"/>
  <c r="C92" i="25"/>
  <c r="E92" i="25" s="1"/>
  <c r="C77" i="25"/>
  <c r="E77" i="25" s="1"/>
  <c r="C89" i="25"/>
  <c r="E89" i="25" s="1"/>
  <c r="K572" i="24"/>
  <c r="G100" i="24"/>
  <c r="E189" i="24"/>
  <c r="G286" i="24"/>
  <c r="H477" i="24"/>
  <c r="H473" i="24" s="1"/>
  <c r="G555" i="24"/>
  <c r="G530" i="24" s="1"/>
  <c r="K530" i="24" s="1"/>
  <c r="K634" i="24"/>
  <c r="G643" i="24"/>
  <c r="K643" i="24" s="1"/>
  <c r="G689" i="24"/>
  <c r="G687" i="24" s="1"/>
  <c r="H762" i="24"/>
  <c r="H760" i="24" s="1"/>
  <c r="C71" i="25"/>
  <c r="E71" i="25" s="1"/>
  <c r="C87" i="25"/>
  <c r="E87" i="25" s="1"/>
  <c r="K512" i="24"/>
  <c r="K511" i="24" s="1"/>
  <c r="K721" i="24"/>
  <c r="H411" i="24"/>
  <c r="K616" i="24"/>
  <c r="K614" i="24" s="1"/>
  <c r="M658" i="24"/>
  <c r="I234" i="24"/>
  <c r="G377" i="24"/>
  <c r="H451" i="24"/>
  <c r="K451" i="24" s="1"/>
  <c r="K477" i="24"/>
  <c r="K762" i="24"/>
  <c r="K760" i="24" s="1"/>
  <c r="I767" i="24"/>
  <c r="C63" i="25"/>
  <c r="C42" i="25" s="1"/>
  <c r="C51" i="25"/>
  <c r="D63" i="25"/>
  <c r="D42" i="25" s="1"/>
  <c r="D12" i="25" s="1"/>
  <c r="H635" i="24"/>
  <c r="H633" i="24" s="1"/>
  <c r="H631" i="24" s="1"/>
  <c r="G248" i="24"/>
  <c r="I325" i="24"/>
  <c r="I324" i="24" s="1"/>
  <c r="G430" i="24"/>
  <c r="K563" i="24"/>
  <c r="K561" i="24" s="1"/>
  <c r="G732" i="24"/>
  <c r="G730" i="24" s="1"/>
  <c r="K775" i="24"/>
  <c r="K806" i="24"/>
  <c r="E30" i="13" s="1"/>
  <c r="D30" i="13" s="1"/>
  <c r="E32" i="10" s="1"/>
  <c r="C32" i="10" s="1"/>
  <c r="C61" i="25"/>
  <c r="D76" i="23"/>
  <c r="G77" i="23"/>
  <c r="C88" i="23"/>
  <c r="D88" i="23"/>
  <c r="G89" i="23"/>
  <c r="F88" i="23"/>
  <c r="G94" i="23"/>
  <c r="D74" i="23"/>
  <c r="E88" i="23"/>
  <c r="C75" i="23"/>
  <c r="C76" i="23"/>
  <c r="D75" i="23"/>
  <c r="E75" i="23"/>
  <c r="F75" i="23"/>
  <c r="G85" i="23"/>
  <c r="E30" i="25"/>
  <c r="C44" i="25"/>
  <c r="C98" i="25"/>
  <c r="E55" i="25"/>
  <c r="E58" i="25"/>
  <c r="D20" i="23"/>
  <c r="D15" i="23" s="1"/>
  <c r="E22" i="5" s="1"/>
  <c r="E20" i="5" s="1"/>
  <c r="F74" i="23"/>
  <c r="E76" i="23"/>
  <c r="K85" i="24"/>
  <c r="K84" i="24" s="1"/>
  <c r="K197" i="24"/>
  <c r="K196" i="24" s="1"/>
  <c r="K71" i="24"/>
  <c r="D17" i="24"/>
  <c r="G13" i="24"/>
  <c r="K58" i="24"/>
  <c r="G85" i="24"/>
  <c r="G84" i="24" s="1"/>
  <c r="K119" i="24"/>
  <c r="G189" i="24"/>
  <c r="K189" i="24" s="1"/>
  <c r="K210" i="24"/>
  <c r="K53" i="24"/>
  <c r="K158" i="24"/>
  <c r="K157" i="24" s="1"/>
  <c r="G157" i="24"/>
  <c r="G116" i="24" s="1"/>
  <c r="K116" i="24" s="1"/>
  <c r="I195" i="24"/>
  <c r="I188" i="24"/>
  <c r="I186" i="24" s="1"/>
  <c r="K236" i="24"/>
  <c r="K235" i="24" s="1"/>
  <c r="E144" i="24"/>
  <c r="E143" i="24" s="1"/>
  <c r="E114" i="24" s="1"/>
  <c r="G153" i="24"/>
  <c r="D42" i="24"/>
  <c r="K52" i="24"/>
  <c r="K50" i="24" s="1"/>
  <c r="E85" i="24"/>
  <c r="E84" i="24" s="1"/>
  <c r="E65" i="24" s="1"/>
  <c r="G97" i="24"/>
  <c r="H115" i="24"/>
  <c r="G144" i="24"/>
  <c r="G143" i="24" s="1"/>
  <c r="G191" i="24"/>
  <c r="K213" i="24"/>
  <c r="K211" i="24" s="1"/>
  <c r="K190" i="24" s="1"/>
  <c r="S14" i="13" s="1"/>
  <c r="K288" i="24"/>
  <c r="K286" i="24" s="1"/>
  <c r="H327" i="24"/>
  <c r="H325" i="24" s="1"/>
  <c r="H494" i="24"/>
  <c r="G646" i="24"/>
  <c r="K646" i="24" s="1"/>
  <c r="K225" i="24"/>
  <c r="G25" i="24"/>
  <c r="K25" i="24" s="1"/>
  <c r="K23" i="24" s="1"/>
  <c r="G53" i="24"/>
  <c r="G26" i="24" s="1"/>
  <c r="K26" i="24" s="1"/>
  <c r="G11" i="13" s="1"/>
  <c r="G81" i="24"/>
  <c r="I115" i="24"/>
  <c r="G119" i="24"/>
  <c r="G168" i="24"/>
  <c r="D188" i="24"/>
  <c r="K265" i="24"/>
  <c r="E304" i="24"/>
  <c r="H318" i="24"/>
  <c r="H317" i="24" s="1"/>
  <c r="H302" i="24" s="1"/>
  <c r="G363" i="24"/>
  <c r="G595" i="24"/>
  <c r="K595" i="24" s="1"/>
  <c r="I681" i="24"/>
  <c r="G46" i="24"/>
  <c r="I524" i="24"/>
  <c r="G537" i="24"/>
  <c r="K570" i="24"/>
  <c r="G754" i="24"/>
  <c r="E726" i="24"/>
  <c r="G726" i="24" s="1"/>
  <c r="G772" i="24"/>
  <c r="K774" i="24"/>
  <c r="K66" i="24"/>
  <c r="G71" i="24"/>
  <c r="K98" i="24"/>
  <c r="H154" i="24"/>
  <c r="H153" i="24" s="1"/>
  <c r="G197" i="24"/>
  <c r="G196" i="24" s="1"/>
  <c r="K331" i="24"/>
  <c r="I454" i="24"/>
  <c r="G510" i="24"/>
  <c r="K510" i="24" s="1"/>
  <c r="K606" i="24"/>
  <c r="K605" i="24" s="1"/>
  <c r="G605" i="24"/>
  <c r="G580" i="24" s="1"/>
  <c r="G131" i="24"/>
  <c r="K131" i="24" s="1"/>
  <c r="G236" i="24"/>
  <c r="G750" i="24"/>
  <c r="K750" i="24" s="1"/>
  <c r="G43" i="24"/>
  <c r="M54" i="24"/>
  <c r="N53" i="24" s="1"/>
  <c r="G59" i="24"/>
  <c r="G14" i="24" s="1"/>
  <c r="G211" i="24"/>
  <c r="G252" i="24"/>
  <c r="H300" i="24"/>
  <c r="H298" i="24" s="1"/>
  <c r="T19" i="13" s="1"/>
  <c r="G333" i="24"/>
  <c r="K434" i="24"/>
  <c r="K430" i="24" s="1"/>
  <c r="G660" i="24"/>
  <c r="K660" i="24" s="1"/>
  <c r="E349" i="24"/>
  <c r="G356" i="24"/>
  <c r="K356" i="24" s="1"/>
  <c r="K349" i="24" s="1"/>
  <c r="K348" i="24" s="1"/>
  <c r="G708" i="24"/>
  <c r="G685" i="24" s="1"/>
  <c r="K709" i="24"/>
  <c r="K708" i="24" s="1"/>
  <c r="G471" i="24"/>
  <c r="K472" i="24"/>
  <c r="K471" i="24" s="1"/>
  <c r="I497" i="24"/>
  <c r="G560" i="24"/>
  <c r="K560" i="24" s="1"/>
  <c r="G564" i="24"/>
  <c r="G667" i="24"/>
  <c r="K669" i="24"/>
  <c r="K667" i="24" s="1"/>
  <c r="K781" i="24"/>
  <c r="E727" i="24"/>
  <c r="G727" i="24" s="1"/>
  <c r="K727" i="24" s="1"/>
  <c r="G756" i="24"/>
  <c r="K756" i="24" s="1"/>
  <c r="K474" i="24"/>
  <c r="G446" i="24"/>
  <c r="G473" i="24"/>
  <c r="K536" i="24"/>
  <c r="G449" i="24"/>
  <c r="G492" i="24"/>
  <c r="E554" i="24"/>
  <c r="E604" i="24"/>
  <c r="G604" i="24" s="1"/>
  <c r="K604" i="24" s="1"/>
  <c r="E610" i="24"/>
  <c r="G799" i="24"/>
  <c r="K340" i="24"/>
  <c r="K378" i="24"/>
  <c r="K377" i="24" s="1"/>
  <c r="K384" i="24"/>
  <c r="G416" i="24"/>
  <c r="G670" i="24"/>
  <c r="K733" i="24"/>
  <c r="E684" i="24"/>
  <c r="G684" i="24" s="1"/>
  <c r="K684" i="24" s="1"/>
  <c r="E738" i="24"/>
  <c r="E725" i="24" s="1"/>
  <c r="E470" i="24"/>
  <c r="G757" i="24"/>
  <c r="H518" i="24"/>
  <c r="H513" i="24" s="1"/>
  <c r="E464" i="24"/>
  <c r="G464" i="24" s="1"/>
  <c r="K464" i="24" s="1"/>
  <c r="K455" i="24" s="1"/>
  <c r="H616" i="24"/>
  <c r="H614" i="24" s="1"/>
  <c r="E654" i="24"/>
  <c r="E642" i="24" s="1"/>
  <c r="E625" i="24" s="1"/>
  <c r="H801" i="24"/>
  <c r="H799" i="24" s="1"/>
  <c r="G447" i="24"/>
  <c r="G543" i="24"/>
  <c r="G739" i="24"/>
  <c r="H776" i="24"/>
  <c r="D68" i="25" s="1"/>
  <c r="D47" i="25" s="1"/>
  <c r="D17" i="25" s="1"/>
  <c r="E424" i="24"/>
  <c r="E415" i="24" s="1"/>
  <c r="E401" i="24" s="1"/>
  <c r="K659" i="24" l="1"/>
  <c r="H630" i="24"/>
  <c r="F61" i="23" s="1"/>
  <c r="K683" i="24"/>
  <c r="K685" i="24"/>
  <c r="H726" i="24"/>
  <c r="C25" i="25"/>
  <c r="E25" i="25" s="1"/>
  <c r="G711" i="24"/>
  <c r="G710" i="24" s="1"/>
  <c r="K580" i="24"/>
  <c r="G707" i="24"/>
  <c r="K707" i="24" s="1"/>
  <c r="K695" i="24" s="1"/>
  <c r="G405" i="24"/>
  <c r="G330" i="24"/>
  <c r="K330" i="24" s="1"/>
  <c r="G554" i="24"/>
  <c r="K554" i="24" s="1"/>
  <c r="E558" i="24"/>
  <c r="G753" i="24"/>
  <c r="K719" i="24"/>
  <c r="K717" i="24" s="1"/>
  <c r="J711" i="24"/>
  <c r="J710" i="24" s="1"/>
  <c r="J694" i="24" s="1"/>
  <c r="K672" i="24"/>
  <c r="K670" i="24" s="1"/>
  <c r="J658" i="24"/>
  <c r="J657" i="24" s="1"/>
  <c r="J641" i="24" s="1"/>
  <c r="K449" i="24"/>
  <c r="J441" i="24"/>
  <c r="J439" i="24" s="1"/>
  <c r="D60" i="25"/>
  <c r="D39" i="25" s="1"/>
  <c r="E39" i="25" s="1"/>
  <c r="E9" i="25" s="1"/>
  <c r="C27" i="25"/>
  <c r="E27" i="25" s="1"/>
  <c r="H583" i="24"/>
  <c r="H581" i="24" s="1"/>
  <c r="E794" i="24"/>
  <c r="E769" i="24" s="1"/>
  <c r="G769" i="24" s="1"/>
  <c r="K583" i="24"/>
  <c r="N115" i="24"/>
  <c r="F15" i="10" s="1"/>
  <c r="G83" i="24"/>
  <c r="C48" i="25"/>
  <c r="C18" i="25" s="1"/>
  <c r="K95" i="24"/>
  <c r="K94" i="24" s="1"/>
  <c r="I399" i="24"/>
  <c r="C17" i="25"/>
  <c r="D64" i="25"/>
  <c r="D43" i="25" s="1"/>
  <c r="D13" i="25" s="1"/>
  <c r="G581" i="24"/>
  <c r="K533" i="24"/>
  <c r="G487" i="24"/>
  <c r="C41" i="25"/>
  <c r="K304" i="24"/>
  <c r="K303" i="24" s="1"/>
  <c r="K208" i="24"/>
  <c r="K207" i="24" s="1"/>
  <c r="K195" i="24" s="1"/>
  <c r="G207" i="24"/>
  <c r="G188" i="24" s="1"/>
  <c r="K188" i="24" s="1"/>
  <c r="K14" i="24"/>
  <c r="N13" i="24" s="1"/>
  <c r="F13" i="10" s="1"/>
  <c r="K581" i="24"/>
  <c r="K362" i="24"/>
  <c r="H347" i="24"/>
  <c r="E271" i="24"/>
  <c r="C96" i="25"/>
  <c r="E96" i="25" s="1"/>
  <c r="F32" i="10"/>
  <c r="N806" i="24"/>
  <c r="O806" i="24" s="1"/>
  <c r="H32" i="13"/>
  <c r="D32" i="13" s="1"/>
  <c r="D31" i="13" s="1"/>
  <c r="N810" i="24"/>
  <c r="N809" i="24" s="1"/>
  <c r="G631" i="24"/>
  <c r="H113" i="24"/>
  <c r="T13" i="13" s="1"/>
  <c r="K285" i="24"/>
  <c r="K284" i="24" s="1"/>
  <c r="G630" i="24"/>
  <c r="H142" i="24"/>
  <c r="G74" i="23"/>
  <c r="G44" i="28"/>
  <c r="G271" i="24"/>
  <c r="G270" i="24" s="1"/>
  <c r="G269" i="24" s="1"/>
  <c r="K29" i="24"/>
  <c r="E26" i="23"/>
  <c r="G26" i="23" s="1"/>
  <c r="E47" i="28"/>
  <c r="G47" i="28" s="1"/>
  <c r="H195" i="24"/>
  <c r="E73" i="23"/>
  <c r="C73" i="23"/>
  <c r="G76" i="23"/>
  <c r="F73" i="23"/>
  <c r="G75" i="23"/>
  <c r="K792" i="24"/>
  <c r="K780" i="24" s="1"/>
  <c r="G780" i="24"/>
  <c r="G768" i="24" s="1"/>
  <c r="K126" i="24"/>
  <c r="R13" i="13" s="1"/>
  <c r="E66" i="25"/>
  <c r="E90" i="25"/>
  <c r="E58" i="23" s="1"/>
  <c r="G58" i="23" s="1"/>
  <c r="G304" i="24"/>
  <c r="G303" i="24" s="1"/>
  <c r="G299" i="24" s="1"/>
  <c r="K299" i="24" s="1"/>
  <c r="G738" i="24"/>
  <c r="K271" i="24"/>
  <c r="K270" i="24" s="1"/>
  <c r="G498" i="24"/>
  <c r="G483" i="24" s="1"/>
  <c r="K483" i="24" s="1"/>
  <c r="K689" i="24"/>
  <c r="K687" i="24" s="1"/>
  <c r="N683" i="24" s="1"/>
  <c r="F29" i="10" s="1"/>
  <c r="E468" i="24"/>
  <c r="E441" i="24" s="1"/>
  <c r="G441" i="24" s="1"/>
  <c r="H441" i="24" s="1"/>
  <c r="K441" i="24" s="1"/>
  <c r="E695" i="24"/>
  <c r="E682" i="24" s="1"/>
  <c r="K498" i="24"/>
  <c r="E780" i="24"/>
  <c r="E768" i="24" s="1"/>
  <c r="C28" i="25"/>
  <c r="G23" i="24"/>
  <c r="K564" i="24"/>
  <c r="E509" i="24"/>
  <c r="G509" i="24" s="1"/>
  <c r="K473" i="24"/>
  <c r="E484" i="24"/>
  <c r="G484" i="24" s="1"/>
  <c r="I523" i="24"/>
  <c r="E47" i="25"/>
  <c r="E498" i="24"/>
  <c r="E483" i="24" s="1"/>
  <c r="H409" i="24"/>
  <c r="H405" i="24" s="1"/>
  <c r="G349" i="24"/>
  <c r="G348" i="24" s="1"/>
  <c r="G326" i="24" s="1"/>
  <c r="H222" i="24"/>
  <c r="K411" i="24"/>
  <c r="I113" i="24"/>
  <c r="I10" i="24" s="1"/>
  <c r="H250" i="24"/>
  <c r="H234" i="24" s="1"/>
  <c r="K234" i="24"/>
  <c r="E37" i="25"/>
  <c r="C97" i="25"/>
  <c r="E97" i="25" s="1"/>
  <c r="K734" i="24"/>
  <c r="H732" i="24"/>
  <c r="H730" i="24" s="1"/>
  <c r="D67" i="25"/>
  <c r="K537" i="24"/>
  <c r="C84" i="25"/>
  <c r="C12" i="25" s="1"/>
  <c r="C40" i="25"/>
  <c r="E51" i="25"/>
  <c r="E49" i="25" s="1"/>
  <c r="E95" i="25"/>
  <c r="H492" i="24"/>
  <c r="H487" i="24" s="1"/>
  <c r="D62" i="25"/>
  <c r="E68" i="25"/>
  <c r="G30" i="24"/>
  <c r="G29" i="24" s="1"/>
  <c r="H324" i="24"/>
  <c r="T15" i="13"/>
  <c r="K447" i="24"/>
  <c r="C26" i="25"/>
  <c r="C90" i="25"/>
  <c r="K446" i="24"/>
  <c r="C22" i="25"/>
  <c r="K300" i="24"/>
  <c r="I680" i="24"/>
  <c r="C70" i="25"/>
  <c r="H449" i="24"/>
  <c r="H445" i="24" s="1"/>
  <c r="D61" i="25"/>
  <c r="K592" i="24"/>
  <c r="E63" i="25"/>
  <c r="C59" i="25"/>
  <c r="K635" i="24"/>
  <c r="D65" i="25"/>
  <c r="E455" i="24"/>
  <c r="E440" i="24" s="1"/>
  <c r="K70" i="24"/>
  <c r="N12" i="13"/>
  <c r="C49" i="25"/>
  <c r="E36" i="25"/>
  <c r="C16" i="25"/>
  <c r="C8" i="23"/>
  <c r="G88" i="23"/>
  <c r="D73" i="23"/>
  <c r="E70" i="25"/>
  <c r="E55" i="23" s="1"/>
  <c r="G55" i="23" s="1"/>
  <c r="C9" i="25"/>
  <c r="E42" i="25"/>
  <c r="C15" i="25"/>
  <c r="E45" i="25"/>
  <c r="E15" i="25" s="1"/>
  <c r="D9" i="23"/>
  <c r="E14" i="5" s="1"/>
  <c r="K347" i="24"/>
  <c r="G114" i="24"/>
  <c r="K543" i="24"/>
  <c r="G190" i="24"/>
  <c r="K191" i="24"/>
  <c r="G445" i="24"/>
  <c r="E443" i="24"/>
  <c r="G443" i="24" s="1"/>
  <c r="K443" i="24" s="1"/>
  <c r="G470" i="24"/>
  <c r="K470" i="24" s="1"/>
  <c r="G610" i="24"/>
  <c r="K610" i="24" s="1"/>
  <c r="E579" i="24"/>
  <c r="G579" i="24" s="1"/>
  <c r="K579" i="24" s="1"/>
  <c r="K809" i="24"/>
  <c r="H43" i="24"/>
  <c r="H42" i="24" s="1"/>
  <c r="H28" i="24" s="1"/>
  <c r="G42" i="24"/>
  <c r="G70" i="24"/>
  <c r="G68" i="24"/>
  <c r="K68" i="24" s="1"/>
  <c r="K97" i="24"/>
  <c r="K416" i="24"/>
  <c r="K494" i="24"/>
  <c r="H13" i="24"/>
  <c r="H11" i="24" s="1"/>
  <c r="G224" i="24"/>
  <c r="G235" i="24"/>
  <c r="G234" i="24" s="1"/>
  <c r="G126" i="24"/>
  <c r="G455" i="24"/>
  <c r="E592" i="24"/>
  <c r="E575" i="24" s="1"/>
  <c r="K154" i="24"/>
  <c r="K153" i="24" s="1"/>
  <c r="E658" i="24"/>
  <c r="G654" i="24"/>
  <c r="G592" i="24"/>
  <c r="E608" i="24"/>
  <c r="G362" i="24"/>
  <c r="G328" i="24"/>
  <c r="K328" i="24" s="1"/>
  <c r="K327" i="24"/>
  <c r="G187" i="24"/>
  <c r="G424" i="24"/>
  <c r="K424" i="24" s="1"/>
  <c r="E426" i="24"/>
  <c r="E542" i="24"/>
  <c r="E525" i="24" s="1"/>
  <c r="H754" i="24"/>
  <c r="H753" i="24" s="1"/>
  <c r="H737" i="24" s="1"/>
  <c r="K318" i="24"/>
  <c r="K317" i="24" s="1"/>
  <c r="K115" i="24"/>
  <c r="K776" i="24"/>
  <c r="H772" i="24"/>
  <c r="H681" i="24"/>
  <c r="T27" i="13" s="1"/>
  <c r="K739" i="24"/>
  <c r="K738" i="24" s="1"/>
  <c r="G531" i="24"/>
  <c r="H711" i="24"/>
  <c r="H710" i="24" s="1"/>
  <c r="H694" i="24" s="1"/>
  <c r="G65" i="24"/>
  <c r="G73" i="23" l="1"/>
  <c r="K630" i="24"/>
  <c r="C11" i="25"/>
  <c r="G737" i="24"/>
  <c r="E48" i="25"/>
  <c r="E18" i="25" s="1"/>
  <c r="G695" i="24"/>
  <c r="F12" i="10"/>
  <c r="K542" i="24"/>
  <c r="K531" i="24"/>
  <c r="N526" i="24" s="1"/>
  <c r="F26" i="10" s="1"/>
  <c r="K302" i="24"/>
  <c r="G542" i="24"/>
  <c r="G525" i="24" s="1"/>
  <c r="K525" i="24" s="1"/>
  <c r="D9" i="25"/>
  <c r="E60" i="25"/>
  <c r="K415" i="24"/>
  <c r="G12" i="24"/>
  <c r="K12" i="24" s="1"/>
  <c r="K772" i="24"/>
  <c r="N769" i="24" s="1"/>
  <c r="F31" i="10" s="1"/>
  <c r="J769" i="24"/>
  <c r="J767" i="24" s="1"/>
  <c r="G794" i="24"/>
  <c r="K732" i="24"/>
  <c r="K730" i="24" s="1"/>
  <c r="N726" i="24" s="1"/>
  <c r="F30" i="10" s="1"/>
  <c r="J726" i="24"/>
  <c r="K754" i="24"/>
  <c r="K753" i="24" s="1"/>
  <c r="K737" i="24" s="1"/>
  <c r="K711" i="24"/>
  <c r="K710" i="24" s="1"/>
  <c r="K694" i="24" s="1"/>
  <c r="K633" i="24"/>
  <c r="K631" i="24" s="1"/>
  <c r="N626" i="24" s="1"/>
  <c r="F28" i="10" s="1"/>
  <c r="J626" i="24"/>
  <c r="J624" i="24" s="1"/>
  <c r="J523" i="24" s="1"/>
  <c r="H484" i="24"/>
  <c r="H482" i="24" s="1"/>
  <c r="T23" i="13" s="1"/>
  <c r="G508" i="24"/>
  <c r="G497" i="24" s="1"/>
  <c r="C38" i="25"/>
  <c r="K492" i="24"/>
  <c r="K487" i="24" s="1"/>
  <c r="N484" i="24" s="1"/>
  <c r="F25" i="10" s="1"/>
  <c r="J484" i="24"/>
  <c r="J482" i="24" s="1"/>
  <c r="H509" i="24"/>
  <c r="H508" i="24" s="1"/>
  <c r="H497" i="24" s="1"/>
  <c r="K409" i="24"/>
  <c r="K405" i="24" s="1"/>
  <c r="N402" i="24" s="1"/>
  <c r="F23" i="10" s="1"/>
  <c r="J402" i="24"/>
  <c r="J400" i="24" s="1"/>
  <c r="E43" i="25"/>
  <c r="E13" i="25" s="1"/>
  <c r="K83" i="24"/>
  <c r="C13" i="25"/>
  <c r="E64" i="25"/>
  <c r="G302" i="24"/>
  <c r="G264" i="24"/>
  <c r="G263" i="24" s="1"/>
  <c r="G195" i="24"/>
  <c r="K269" i="24"/>
  <c r="C14" i="25"/>
  <c r="E61" i="23"/>
  <c r="G61" i="23" s="1"/>
  <c r="N576" i="24"/>
  <c r="F27" i="10" s="1"/>
  <c r="E34" i="10"/>
  <c r="C34" i="10" s="1"/>
  <c r="E24" i="28"/>
  <c r="G24" i="28" s="1"/>
  <c r="N327" i="24"/>
  <c r="F17" i="10" s="1"/>
  <c r="G468" i="24"/>
  <c r="O809" i="24"/>
  <c r="E45" i="23"/>
  <c r="N444" i="24"/>
  <c r="E35" i="28"/>
  <c r="G35" i="28" s="1"/>
  <c r="E28" i="28"/>
  <c r="G28" i="28" s="1"/>
  <c r="E31" i="28"/>
  <c r="G31" i="28" s="1"/>
  <c r="H724" i="24"/>
  <c r="T28" i="13" s="1"/>
  <c r="E28" i="25"/>
  <c r="E49" i="23" s="1"/>
  <c r="G49" i="23" s="1"/>
  <c r="I398" i="24"/>
  <c r="G179" i="24" s="1"/>
  <c r="K179" i="24" s="1"/>
  <c r="K176" i="24" s="1"/>
  <c r="K160" i="24" s="1"/>
  <c r="K142" i="24" s="1"/>
  <c r="E17" i="25"/>
  <c r="E94" i="25"/>
  <c r="E56" i="23" s="1"/>
  <c r="G56" i="23" s="1"/>
  <c r="G11" i="24"/>
  <c r="G347" i="24"/>
  <c r="C94" i="25"/>
  <c r="G415" i="24"/>
  <c r="G401" i="24" s="1"/>
  <c r="K401" i="24" s="1"/>
  <c r="E26" i="25"/>
  <c r="E24" i="25" s="1"/>
  <c r="E57" i="23" s="1"/>
  <c r="G57" i="23" s="1"/>
  <c r="C24" i="25"/>
  <c r="D40" i="25"/>
  <c r="E40" i="25" s="1"/>
  <c r="E61" i="25"/>
  <c r="D59" i="25"/>
  <c r="E84" i="25"/>
  <c r="E80" i="25" s="1"/>
  <c r="E50" i="23" s="1"/>
  <c r="G50" i="23" s="1"/>
  <c r="C80" i="25"/>
  <c r="H10" i="24"/>
  <c r="T11" i="13"/>
  <c r="D41" i="25"/>
  <c r="E62" i="25"/>
  <c r="D46" i="25"/>
  <c r="E67" i="25"/>
  <c r="D44" i="25"/>
  <c r="E65" i="25"/>
  <c r="E22" i="25"/>
  <c r="C20" i="25"/>
  <c r="C10" i="25"/>
  <c r="K445" i="24"/>
  <c r="N441" i="24" s="1"/>
  <c r="D8" i="23"/>
  <c r="G440" i="24"/>
  <c r="K440" i="24" s="1"/>
  <c r="G558" i="24"/>
  <c r="E526" i="24"/>
  <c r="G526" i="24" s="1"/>
  <c r="H794" i="24"/>
  <c r="H793" i="24" s="1"/>
  <c r="H779" i="24" s="1"/>
  <c r="G793" i="24"/>
  <c r="G779" i="24" s="1"/>
  <c r="G725" i="24"/>
  <c r="K725" i="24" s="1"/>
  <c r="G694" i="24"/>
  <c r="G682" i="24"/>
  <c r="K682" i="24" s="1"/>
  <c r="H769" i="24"/>
  <c r="H767" i="24" s="1"/>
  <c r="T29" i="13" s="1"/>
  <c r="G64" i="24"/>
  <c r="K65" i="24"/>
  <c r="K224" i="24"/>
  <c r="G223" i="24"/>
  <c r="H439" i="24"/>
  <c r="T22" i="13" s="1"/>
  <c r="K768" i="24"/>
  <c r="G767" i="24"/>
  <c r="K114" i="24"/>
  <c r="G608" i="24"/>
  <c r="E576" i="24"/>
  <c r="G576" i="24" s="1"/>
  <c r="G426" i="24"/>
  <c r="E402" i="24"/>
  <c r="G402" i="24" s="1"/>
  <c r="H402" i="24" s="1"/>
  <c r="K13" i="24"/>
  <c r="K298" i="24"/>
  <c r="G298" i="24"/>
  <c r="K326" i="24"/>
  <c r="G325" i="24"/>
  <c r="G324" i="24" s="1"/>
  <c r="G186" i="24"/>
  <c r="K187" i="24"/>
  <c r="N187" i="24" s="1"/>
  <c r="N186" i="24" s="1"/>
  <c r="G658" i="24"/>
  <c r="E626" i="24"/>
  <c r="G626" i="24" s="1"/>
  <c r="G482" i="24"/>
  <c r="G575" i="24"/>
  <c r="K575" i="24" s="1"/>
  <c r="K654" i="24"/>
  <c r="K642" i="24" s="1"/>
  <c r="G642" i="24"/>
  <c r="G28" i="24"/>
  <c r="K43" i="24"/>
  <c r="K42" i="24" s="1"/>
  <c r="K28" i="24" s="1"/>
  <c r="J399" i="24" l="1"/>
  <c r="H626" i="24"/>
  <c r="K626" i="24" s="1"/>
  <c r="J724" i="24"/>
  <c r="J680" i="24" s="1"/>
  <c r="J398" i="24" s="1"/>
  <c r="J9" i="24" s="1"/>
  <c r="K726" i="24"/>
  <c r="N725" i="24" s="1"/>
  <c r="N724" i="24" s="1"/>
  <c r="H576" i="24"/>
  <c r="K576" i="24" s="1"/>
  <c r="H526" i="24"/>
  <c r="K526" i="24" s="1"/>
  <c r="K794" i="24"/>
  <c r="K793" i="24" s="1"/>
  <c r="K779" i="24" s="1"/>
  <c r="K769" i="24"/>
  <c r="K767" i="24" s="1"/>
  <c r="E29" i="13" s="1"/>
  <c r="D29" i="13" s="1"/>
  <c r="E31" i="10" s="1"/>
  <c r="C31" i="10" s="1"/>
  <c r="K509" i="24"/>
  <c r="K508" i="24" s="1"/>
  <c r="K497" i="24" s="1"/>
  <c r="K484" i="24"/>
  <c r="N483" i="24" s="1"/>
  <c r="N482" i="24" s="1"/>
  <c r="G467" i="24"/>
  <c r="G454" i="24" s="1"/>
  <c r="K439" i="24"/>
  <c r="E22" i="13" s="1"/>
  <c r="D22" i="13" s="1"/>
  <c r="E24" i="10" s="1"/>
  <c r="C24" i="10" s="1"/>
  <c r="N426" i="24"/>
  <c r="C8" i="25"/>
  <c r="C7" i="25" s="1"/>
  <c r="N65" i="24"/>
  <c r="N64" i="24" s="1"/>
  <c r="Q12" i="13"/>
  <c r="D12" i="13" s="1"/>
  <c r="E14" i="10" s="1"/>
  <c r="M30" i="24"/>
  <c r="K264" i="24"/>
  <c r="N264" i="24" s="1"/>
  <c r="N263" i="24" s="1"/>
  <c r="K223" i="24"/>
  <c r="Q17" i="13" s="1"/>
  <c r="D17" i="13" s="1"/>
  <c r="E19" i="10" s="1"/>
  <c r="C19" i="10" s="1"/>
  <c r="N224" i="24"/>
  <c r="N223" i="24" s="1"/>
  <c r="N12" i="24"/>
  <c r="H468" i="24"/>
  <c r="H467" i="24" s="1"/>
  <c r="H454" i="24" s="1"/>
  <c r="F24" i="10"/>
  <c r="F22" i="10" s="1"/>
  <c r="F11" i="10" s="1"/>
  <c r="F10" i="10" s="1"/>
  <c r="K325" i="24"/>
  <c r="N326" i="24"/>
  <c r="N325" i="24" s="1"/>
  <c r="Q19" i="13"/>
  <c r="D19" i="13" s="1"/>
  <c r="E21" i="10" s="1"/>
  <c r="C21" i="10" s="1"/>
  <c r="N299" i="24"/>
  <c r="N298" i="24" s="1"/>
  <c r="Q13" i="13"/>
  <c r="K11" i="24"/>
  <c r="G45" i="23"/>
  <c r="G43" i="23" s="1"/>
  <c r="E43" i="23"/>
  <c r="E29" i="28"/>
  <c r="G29" i="28" s="1"/>
  <c r="E33" i="28"/>
  <c r="G33" i="28" s="1"/>
  <c r="E27" i="28"/>
  <c r="G27" i="28" s="1"/>
  <c r="E34" i="28"/>
  <c r="G34" i="28" s="1"/>
  <c r="G176" i="24"/>
  <c r="G160" i="24" s="1"/>
  <c r="G142" i="24" s="1"/>
  <c r="G137" i="24"/>
  <c r="I9" i="24"/>
  <c r="H680" i="24"/>
  <c r="E12" i="25"/>
  <c r="Q11" i="13"/>
  <c r="D11" i="13" s="1"/>
  <c r="E13" i="10" s="1"/>
  <c r="E20" i="25"/>
  <c r="E48" i="23" s="1"/>
  <c r="E10" i="25"/>
  <c r="K64" i="24"/>
  <c r="D14" i="25"/>
  <c r="E44" i="25"/>
  <c r="E14" i="25" s="1"/>
  <c r="K186" i="24"/>
  <c r="Q14" i="13"/>
  <c r="D14" i="13" s="1"/>
  <c r="E16" i="10" s="1"/>
  <c r="D16" i="25"/>
  <c r="E46" i="25"/>
  <c r="E16" i="25" s="1"/>
  <c r="C19" i="25"/>
  <c r="D11" i="25"/>
  <c r="E41" i="25"/>
  <c r="E59" i="25"/>
  <c r="M346" i="24" s="1"/>
  <c r="D10" i="25"/>
  <c r="D38" i="25"/>
  <c r="G607" i="24"/>
  <c r="G591" i="24" s="1"/>
  <c r="H608" i="24"/>
  <c r="H607" i="24" s="1"/>
  <c r="H591" i="24" s="1"/>
  <c r="G724" i="24"/>
  <c r="G222" i="24"/>
  <c r="G657" i="24"/>
  <c r="G641" i="24" s="1"/>
  <c r="H658" i="24"/>
  <c r="H657" i="24" s="1"/>
  <c r="H641" i="24" s="1"/>
  <c r="G557" i="24"/>
  <c r="G541" i="24" s="1"/>
  <c r="H558" i="24"/>
  <c r="H557" i="24" s="1"/>
  <c r="H541" i="24" s="1"/>
  <c r="G439" i="24"/>
  <c r="G400" i="24"/>
  <c r="G524" i="24"/>
  <c r="G625" i="24"/>
  <c r="K625" i="24" s="1"/>
  <c r="G574" i="24"/>
  <c r="H400" i="24"/>
  <c r="G425" i="24"/>
  <c r="G414" i="24" s="1"/>
  <c r="H426" i="24"/>
  <c r="H425" i="24" s="1"/>
  <c r="H414" i="24" s="1"/>
  <c r="G681" i="24"/>
  <c r="H624" i="24"/>
  <c r="T26" i="13" s="1"/>
  <c r="K263" i="24" l="1"/>
  <c r="Q18" i="13" s="1"/>
  <c r="D18" i="13" s="1"/>
  <c r="E20" i="10" s="1"/>
  <c r="C20" i="10" s="1"/>
  <c r="K724" i="24"/>
  <c r="E28" i="13" s="1"/>
  <c r="H574" i="24"/>
  <c r="T25" i="13" s="1"/>
  <c r="H524" i="24"/>
  <c r="T24" i="13" s="1"/>
  <c r="K222" i="24"/>
  <c r="K482" i="24"/>
  <c r="E23" i="13" s="1"/>
  <c r="D23" i="13" s="1"/>
  <c r="E25" i="10" s="1"/>
  <c r="C25" i="10" s="1"/>
  <c r="K658" i="24"/>
  <c r="K657" i="24" s="1"/>
  <c r="K641" i="24" s="1"/>
  <c r="K608" i="24"/>
  <c r="K607" i="24" s="1"/>
  <c r="K591" i="24" s="1"/>
  <c r="K574" i="24"/>
  <c r="E25" i="13" s="1"/>
  <c r="D25" i="13" s="1"/>
  <c r="E27" i="10" s="1"/>
  <c r="C27" i="10" s="1"/>
  <c r="K558" i="24"/>
  <c r="K557" i="24" s="1"/>
  <c r="K541" i="24" s="1"/>
  <c r="K468" i="24"/>
  <c r="K467" i="24" s="1"/>
  <c r="K454" i="24" s="1"/>
  <c r="K402" i="24"/>
  <c r="M403" i="24" s="1"/>
  <c r="K426" i="24"/>
  <c r="K425" i="24" s="1"/>
  <c r="K414" i="24" s="1"/>
  <c r="O724" i="24"/>
  <c r="N15" i="24"/>
  <c r="O325" i="24"/>
  <c r="Q15" i="13"/>
  <c r="D15" i="13" s="1"/>
  <c r="E17" i="10" s="1"/>
  <c r="C17" i="10" s="1"/>
  <c r="D16" i="13"/>
  <c r="K137" i="24"/>
  <c r="G134" i="24"/>
  <c r="G118" i="24" s="1"/>
  <c r="G113" i="24" s="1"/>
  <c r="G10" i="24" s="1"/>
  <c r="N11" i="24"/>
  <c r="K681" i="24"/>
  <c r="E27" i="13" s="1"/>
  <c r="D27" i="13" s="1"/>
  <c r="E29" i="10" s="1"/>
  <c r="C29" i="10" s="1"/>
  <c r="N682" i="24"/>
  <c r="N681" i="24" s="1"/>
  <c r="N768" i="24"/>
  <c r="N767" i="24" s="1"/>
  <c r="O767" i="24" s="1"/>
  <c r="N440" i="24"/>
  <c r="N439" i="24" s="1"/>
  <c r="O439" i="24" s="1"/>
  <c r="K324" i="24"/>
  <c r="G48" i="23"/>
  <c r="D19" i="25"/>
  <c r="F52" i="23"/>
  <c r="H399" i="24"/>
  <c r="T21" i="13"/>
  <c r="D8" i="25"/>
  <c r="D7" i="25" s="1"/>
  <c r="G680" i="24"/>
  <c r="E11" i="25"/>
  <c r="E8" i="25" s="1"/>
  <c r="E7" i="25" s="1"/>
  <c r="E38" i="25"/>
  <c r="E52" i="23" s="1"/>
  <c r="D28" i="13"/>
  <c r="E30" i="10" s="1"/>
  <c r="C30" i="10" s="1"/>
  <c r="G399" i="24"/>
  <c r="K524" i="24"/>
  <c r="E24" i="13" s="1"/>
  <c r="D24" i="13" s="1"/>
  <c r="E26" i="10" s="1"/>
  <c r="C26" i="10" s="1"/>
  <c r="G624" i="24"/>
  <c r="G523" i="24" s="1"/>
  <c r="G52" i="23" l="1"/>
  <c r="G47" i="23" s="1"/>
  <c r="E47" i="23"/>
  <c r="F38" i="23"/>
  <c r="F32" i="23" s="1"/>
  <c r="H523" i="24"/>
  <c r="H398" i="24" s="1"/>
  <c r="H9" i="24" s="1"/>
  <c r="O482" i="24"/>
  <c r="K680" i="24"/>
  <c r="N575" i="24"/>
  <c r="N574" i="24" s="1"/>
  <c r="O574" i="24" s="1"/>
  <c r="K400" i="24"/>
  <c r="K399" i="24" s="1"/>
  <c r="N401" i="24"/>
  <c r="N400" i="24" s="1"/>
  <c r="O681" i="24"/>
  <c r="N525" i="24"/>
  <c r="N524" i="24" s="1"/>
  <c r="O524" i="24" s="1"/>
  <c r="K134" i="24"/>
  <c r="N114" i="24"/>
  <c r="N625" i="24"/>
  <c r="N624" i="24" s="1"/>
  <c r="G38" i="23"/>
  <c r="G32" i="23" s="1"/>
  <c r="E38" i="23"/>
  <c r="E32" i="23" s="1"/>
  <c r="E30" i="28"/>
  <c r="G30" i="28" s="1"/>
  <c r="F30" i="28"/>
  <c r="E19" i="25"/>
  <c r="K624" i="24"/>
  <c r="G398" i="24"/>
  <c r="G9" i="24" s="1"/>
  <c r="E21" i="13" l="1"/>
  <c r="D21" i="13" s="1"/>
  <c r="E23" i="10" s="1"/>
  <c r="O624" i="24"/>
  <c r="O400" i="24"/>
  <c r="N113" i="24"/>
  <c r="O12" i="24"/>
  <c r="K118" i="24"/>
  <c r="K113" i="24" s="1"/>
  <c r="K10" i="24" s="1"/>
  <c r="E13" i="13"/>
  <c r="D13" i="13" s="1"/>
  <c r="E15" i="10" s="1"/>
  <c r="K523" i="24"/>
  <c r="K398" i="24" s="1"/>
  <c r="N398" i="24" s="1"/>
  <c r="E26" i="13"/>
  <c r="D26" i="13" s="1"/>
  <c r="E28" i="10" s="1"/>
  <c r="C28" i="10" s="1"/>
  <c r="C23" i="10" l="1"/>
  <c r="C22" i="10" s="1"/>
  <c r="E22" i="10"/>
  <c r="E20" i="13"/>
  <c r="D20" i="13"/>
  <c r="K9" i="24"/>
  <c r="F31" i="8" l="1"/>
  <c r="D32" i="8"/>
  <c r="D22" i="2"/>
  <c r="B44" i="8" l="1"/>
  <c r="B43" i="8"/>
  <c r="D38" i="8"/>
  <c r="D10" i="7"/>
  <c r="C23" i="7" l="1"/>
  <c r="E23" i="4"/>
  <c r="D40" i="7"/>
  <c r="C43" i="4"/>
  <c r="C50" i="7"/>
  <c r="C51" i="7"/>
  <c r="C52" i="7"/>
  <c r="C53" i="7"/>
  <c r="C54" i="7"/>
  <c r="C55" i="7"/>
  <c r="C56" i="7"/>
  <c r="C57" i="7"/>
  <c r="C58" i="7"/>
  <c r="C59" i="7"/>
  <c r="C60" i="7"/>
  <c r="C61" i="7"/>
  <c r="C62" i="7"/>
  <c r="C45" i="7"/>
  <c r="C46" i="7"/>
  <c r="C47" i="7"/>
  <c r="C48" i="7"/>
  <c r="C49" i="7"/>
  <c r="C44" i="7"/>
  <c r="E61" i="4"/>
  <c r="E60" i="4"/>
  <c r="E59" i="4" l="1"/>
  <c r="H59" i="4" s="1"/>
  <c r="D29" i="7"/>
  <c r="C43" i="7"/>
  <c r="G43" i="7" l="1"/>
  <c r="F43" i="7"/>
  <c r="D9" i="7"/>
  <c r="C10" i="5"/>
  <c r="D11" i="5"/>
  <c r="D10" i="5" s="1"/>
  <c r="E27" i="5"/>
  <c r="D22" i="5"/>
  <c r="C22" i="5"/>
  <c r="E13" i="5"/>
  <c r="E9" i="5" s="1"/>
  <c r="C18" i="5"/>
  <c r="C17" i="5"/>
  <c r="C14" i="5"/>
  <c r="E21" i="4"/>
  <c r="E46" i="4"/>
  <c r="E47" i="4"/>
  <c r="E48" i="4"/>
  <c r="E49" i="4"/>
  <c r="E50" i="4"/>
  <c r="E51" i="4"/>
  <c r="E52" i="4"/>
  <c r="E53" i="4"/>
  <c r="E54" i="4"/>
  <c r="E55" i="4"/>
  <c r="E56" i="4"/>
  <c r="E57" i="4"/>
  <c r="E58" i="4"/>
  <c r="E45" i="4"/>
  <c r="E44" i="4"/>
  <c r="G10" i="5" l="1"/>
  <c r="F10" i="5"/>
  <c r="E19" i="5"/>
  <c r="E43" i="4"/>
  <c r="F43" i="4" s="1"/>
  <c r="C21" i="4"/>
  <c r="C21" i="7" s="1"/>
  <c r="E11" i="2"/>
  <c r="E10" i="2" s="1"/>
  <c r="D10" i="2"/>
  <c r="E22" i="2"/>
  <c r="E13" i="2"/>
  <c r="D18" i="2"/>
  <c r="D18" i="5" s="1"/>
  <c r="D17" i="2"/>
  <c r="D17" i="5" s="1"/>
  <c r="D14" i="2"/>
  <c r="D14" i="5" s="1"/>
  <c r="G21" i="7" l="1"/>
  <c r="F21" i="7"/>
  <c r="F18" i="5"/>
  <c r="G18" i="5"/>
  <c r="G17" i="5"/>
  <c r="F17" i="5"/>
  <c r="F17" i="2"/>
  <c r="F18" i="2"/>
  <c r="E18" i="2"/>
  <c r="E17" i="2"/>
  <c r="E9" i="2" s="1"/>
  <c r="G43" i="4"/>
  <c r="F21" i="4"/>
  <c r="G21" i="4"/>
  <c r="A3" i="17" l="1"/>
  <c r="AN24" i="17"/>
  <c r="AM24" i="17"/>
  <c r="AN22" i="17"/>
  <c r="AM22" i="17"/>
  <c r="AL24" i="17" l="1"/>
  <c r="AI24" i="17"/>
  <c r="AH24" i="17"/>
  <c r="AH22" i="17"/>
  <c r="AL22" i="17"/>
  <c r="AI22" i="17"/>
  <c r="AG22" i="17"/>
  <c r="AL23" i="17"/>
  <c r="AI23" i="17"/>
  <c r="AH23" i="17"/>
  <c r="AG23" i="17"/>
  <c r="AX14" i="17"/>
  <c r="AY14" i="17"/>
  <c r="BA14" i="17"/>
  <c r="BB14" i="17"/>
  <c r="AX15" i="17"/>
  <c r="AY15" i="17"/>
  <c r="BA15" i="17"/>
  <c r="BB15" i="17"/>
  <c r="AY16" i="17"/>
  <c r="BA16" i="17"/>
  <c r="BB16" i="17"/>
  <c r="AX17" i="17"/>
  <c r="BA17" i="17"/>
  <c r="BB17" i="17"/>
  <c r="AY18" i="17"/>
  <c r="BA18" i="17"/>
  <c r="BB18" i="17"/>
  <c r="AX19" i="17"/>
  <c r="AY19" i="17"/>
  <c r="BA19" i="17"/>
  <c r="BB19" i="17"/>
  <c r="AX22" i="17"/>
  <c r="AY22" i="17"/>
  <c r="AX23" i="17"/>
  <c r="AY23" i="17"/>
  <c r="BA23" i="17"/>
  <c r="BB23" i="17"/>
  <c r="AX24" i="17"/>
  <c r="AY24" i="17"/>
  <c r="AX26" i="17"/>
  <c r="AY26" i="17"/>
  <c r="BA26" i="17"/>
  <c r="BB26" i="17"/>
  <c r="AX27" i="17"/>
  <c r="AY27" i="17"/>
  <c r="BA27" i="17"/>
  <c r="BB27" i="17"/>
  <c r="AX28" i="17"/>
  <c r="AY28" i="17"/>
  <c r="BA28" i="17"/>
  <c r="BB28" i="17"/>
  <c r="AX29" i="17"/>
  <c r="AY29" i="17"/>
  <c r="BA29" i="17"/>
  <c r="BB29" i="17"/>
  <c r="AX30" i="17"/>
  <c r="AY30" i="17"/>
  <c r="BA30" i="17"/>
  <c r="BB30" i="17"/>
  <c r="AX31" i="17"/>
  <c r="AY31" i="17"/>
  <c r="BA31" i="17"/>
  <c r="BB31" i="17"/>
  <c r="AX32" i="17"/>
  <c r="AY32" i="17"/>
  <c r="BA32" i="17"/>
  <c r="BB32" i="17"/>
  <c r="AX33" i="17"/>
  <c r="AY33" i="17"/>
  <c r="BA33" i="17"/>
  <c r="BB33" i="17"/>
  <c r="AX34" i="17"/>
  <c r="AY34" i="17"/>
  <c r="BA34" i="17"/>
  <c r="BB34" i="17"/>
  <c r="AX35" i="17"/>
  <c r="AY35" i="17"/>
  <c r="BA35" i="17"/>
  <c r="BB35" i="17"/>
  <c r="AX36" i="17"/>
  <c r="AY36" i="17"/>
  <c r="BA36" i="17"/>
  <c r="BB36" i="17"/>
  <c r="AY37" i="17"/>
  <c r="BA37" i="17"/>
  <c r="BB37" i="17"/>
  <c r="AX38" i="17"/>
  <c r="AY38" i="17"/>
  <c r="AX39" i="17"/>
  <c r="AY39" i="17"/>
  <c r="BA39" i="17"/>
  <c r="BB39" i="17"/>
  <c r="AX40" i="17"/>
  <c r="AY40" i="17"/>
  <c r="BB40" i="17"/>
  <c r="AX41" i="17"/>
  <c r="AY41" i="17"/>
  <c r="AX42" i="17"/>
  <c r="AY42" i="17"/>
  <c r="BA42" i="17"/>
  <c r="BB42" i="17"/>
  <c r="AX44" i="17"/>
  <c r="AY44" i="17"/>
  <c r="BA44" i="17"/>
  <c r="BB44" i="17"/>
  <c r="AX45" i="17"/>
  <c r="AY45" i="17"/>
  <c r="BA45" i="17"/>
  <c r="BB45" i="17"/>
  <c r="AX46" i="17"/>
  <c r="AY46" i="17"/>
  <c r="BA46" i="17"/>
  <c r="BB46" i="17"/>
  <c r="AX47" i="17"/>
  <c r="AY47" i="17"/>
  <c r="BA47" i="17"/>
  <c r="BB47" i="17"/>
  <c r="AX48" i="17"/>
  <c r="AY48" i="17"/>
  <c r="BA48" i="17"/>
  <c r="BB48" i="17"/>
  <c r="AX49" i="17"/>
  <c r="AY49" i="17"/>
  <c r="BA49" i="17"/>
  <c r="BB49" i="17"/>
  <c r="AX50" i="17"/>
  <c r="AY50" i="17"/>
  <c r="BA50" i="17"/>
  <c r="BB50" i="17"/>
  <c r="AX52" i="17"/>
  <c r="AY52" i="17"/>
  <c r="BA52" i="17"/>
  <c r="BB52" i="17"/>
  <c r="AX53" i="17"/>
  <c r="AY53" i="17"/>
  <c r="BA53" i="17"/>
  <c r="BB53" i="17"/>
  <c r="AX54" i="17"/>
  <c r="AY54" i="17"/>
  <c r="BA54" i="17"/>
  <c r="BB54" i="17"/>
  <c r="AX55" i="17"/>
  <c r="BA55" i="17"/>
  <c r="BB55" i="17"/>
  <c r="AX56" i="17"/>
  <c r="AY56" i="17"/>
  <c r="BA56" i="17"/>
  <c r="BB56" i="17"/>
  <c r="AX57" i="17"/>
  <c r="AY57" i="17"/>
  <c r="BA57" i="17"/>
  <c r="BB57" i="17"/>
  <c r="AL55" i="17"/>
  <c r="AK55" i="17"/>
  <c r="AH55" i="17" s="1"/>
  <c r="AG55" i="17"/>
  <c r="AL41" i="17"/>
  <c r="AH41" i="17"/>
  <c r="AG41" i="17"/>
  <c r="AF41" i="17" s="1"/>
  <c r="AM40" i="17"/>
  <c r="AL40" i="17" s="1"/>
  <c r="AH40" i="17"/>
  <c r="AL39" i="17"/>
  <c r="AH39" i="17"/>
  <c r="AG39" i="17"/>
  <c r="AM38" i="17"/>
  <c r="AL38" i="17" s="1"/>
  <c r="AI38" i="17"/>
  <c r="AH38" i="17"/>
  <c r="AL37" i="17"/>
  <c r="AJ37" i="17"/>
  <c r="AG37" i="17" s="1"/>
  <c r="AH37" i="17"/>
  <c r="AL18" i="17"/>
  <c r="AJ18" i="17"/>
  <c r="AI18" i="17" s="1"/>
  <c r="AH18" i="17"/>
  <c r="AL17" i="17"/>
  <c r="AK17" i="17"/>
  <c r="AY17" i="17" s="1"/>
  <c r="AG17" i="17"/>
  <c r="AL16" i="17"/>
  <c r="AJ16" i="17"/>
  <c r="AX16" i="17" s="1"/>
  <c r="AH16" i="17"/>
  <c r="AF23" i="17" l="1"/>
  <c r="AF55" i="17"/>
  <c r="AF39" i="17"/>
  <c r="AI17" i="17"/>
  <c r="AH17" i="17"/>
  <c r="AF17" i="17" s="1"/>
  <c r="AG16" i="17"/>
  <c r="AF16" i="17" s="1"/>
  <c r="AX37" i="17"/>
  <c r="AG40" i="17"/>
  <c r="AF40" i="17" s="1"/>
  <c r="AY55" i="17"/>
  <c r="BA40" i="17"/>
  <c r="AF37" i="17"/>
  <c r="AI16" i="17"/>
  <c r="AG24" i="17"/>
  <c r="AF22" i="17"/>
  <c r="AI55" i="17"/>
  <c r="AI37" i="17"/>
  <c r="AG38" i="17"/>
  <c r="AF38" i="17" s="1"/>
  <c r="AG18" i="17"/>
  <c r="AF18" i="17" s="1"/>
  <c r="AF24" i="17" l="1"/>
  <c r="F25" i="20"/>
  <c r="F24" i="20"/>
  <c r="C31" i="20" l="1"/>
  <c r="C32" i="20"/>
  <c r="E24" i="20" l="1"/>
  <c r="E20" i="20"/>
  <c r="E17" i="20"/>
  <c r="D14" i="20"/>
  <c r="F14" i="20"/>
  <c r="G14" i="20"/>
  <c r="E26" i="20"/>
  <c r="E16" i="20"/>
  <c r="C29" i="20"/>
  <c r="C44" i="8" s="1"/>
  <c r="F44" i="8" s="1"/>
  <c r="E14" i="20" l="1"/>
  <c r="C30" i="20"/>
  <c r="C28" i="20"/>
  <c r="C27" i="20"/>
  <c r="C26" i="20"/>
  <c r="C25" i="20"/>
  <c r="C24" i="20"/>
  <c r="C39" i="8" s="1"/>
  <c r="C23" i="20"/>
  <c r="C22" i="20"/>
  <c r="C37" i="8" s="1"/>
  <c r="D37" i="8" s="1"/>
  <c r="F37" i="8" s="1"/>
  <c r="C21" i="20"/>
  <c r="C20" i="20"/>
  <c r="C35" i="8" s="1"/>
  <c r="D35" i="8" s="1"/>
  <c r="F35" i="8" s="1"/>
  <c r="C19" i="20"/>
  <c r="C34" i="8" s="1"/>
  <c r="D34" i="8" s="1"/>
  <c r="F34" i="8" s="1"/>
  <c r="C18" i="20"/>
  <c r="C17" i="20"/>
  <c r="C30" i="8" s="1"/>
  <c r="C16" i="20"/>
  <c r="C15" i="20"/>
  <c r="C32" i="8" s="1"/>
  <c r="F32" i="8" s="1"/>
  <c r="C10" i="20"/>
  <c r="F9" i="20"/>
  <c r="F8" i="20" s="1"/>
  <c r="C15" i="2" s="1"/>
  <c r="E9" i="20"/>
  <c r="D9" i="20"/>
  <c r="D8" i="20" s="1"/>
  <c r="E31" i="21"/>
  <c r="E24" i="21"/>
  <c r="E23" i="21"/>
  <c r="E21" i="21"/>
  <c r="E17" i="21"/>
  <c r="D16" i="21"/>
  <c r="C16" i="21"/>
  <c r="E14" i="21"/>
  <c r="E13" i="21"/>
  <c r="D12" i="21"/>
  <c r="C12" i="21"/>
  <c r="D10" i="21"/>
  <c r="C10" i="21"/>
  <c r="H37" i="3"/>
  <c r="H28" i="3"/>
  <c r="H24" i="3"/>
  <c r="H23" i="3"/>
  <c r="H19" i="3"/>
  <c r="H17" i="3"/>
  <c r="H13" i="3"/>
  <c r="I9" i="6"/>
  <c r="E33" i="6"/>
  <c r="C33" i="6"/>
  <c r="C28" i="6"/>
  <c r="C10" i="6" s="1"/>
  <c r="C9" i="6" s="1"/>
  <c r="E9" i="6"/>
  <c r="F50" i="3"/>
  <c r="F9" i="3" s="1"/>
  <c r="H41" i="3"/>
  <c r="G41" i="3"/>
  <c r="H40" i="3"/>
  <c r="G40" i="3"/>
  <c r="H39" i="3"/>
  <c r="G39" i="3"/>
  <c r="H38" i="3"/>
  <c r="G38" i="3"/>
  <c r="G37" i="3"/>
  <c r="H36" i="3"/>
  <c r="G36" i="3"/>
  <c r="H35" i="3"/>
  <c r="G35" i="3"/>
  <c r="H34" i="3"/>
  <c r="G34" i="3"/>
  <c r="H33" i="3"/>
  <c r="G33" i="3"/>
  <c r="H32" i="3"/>
  <c r="E32" i="3"/>
  <c r="G32" i="3" s="1"/>
  <c r="H31" i="3"/>
  <c r="E31" i="3"/>
  <c r="G31" i="3" s="1"/>
  <c r="H30" i="3"/>
  <c r="G30" i="3"/>
  <c r="H29" i="3"/>
  <c r="G29" i="3"/>
  <c r="G28" i="3"/>
  <c r="H27" i="3"/>
  <c r="E27" i="3"/>
  <c r="G27" i="3" s="1"/>
  <c r="H26" i="3"/>
  <c r="E26" i="3"/>
  <c r="G26" i="3" s="1"/>
  <c r="H25" i="3"/>
  <c r="G25" i="3"/>
  <c r="G24" i="3"/>
  <c r="G23" i="3"/>
  <c r="H22" i="3"/>
  <c r="G22" i="3"/>
  <c r="H21" i="3"/>
  <c r="G21" i="3"/>
  <c r="H20" i="3"/>
  <c r="G20" i="3"/>
  <c r="G19" i="3"/>
  <c r="G17" i="3"/>
  <c r="H15" i="3"/>
  <c r="E15" i="3"/>
  <c r="G15" i="3" s="1"/>
  <c r="D10" i="3"/>
  <c r="H11" i="3"/>
  <c r="E11" i="3"/>
  <c r="G11" i="3" s="1"/>
  <c r="C10" i="3"/>
  <c r="C9" i="3" s="1"/>
  <c r="E10" i="3" l="1"/>
  <c r="G10" i="3" s="1"/>
  <c r="G13" i="3"/>
  <c r="H23" i="20"/>
  <c r="C38" i="8"/>
  <c r="F38" i="8" s="1"/>
  <c r="C13" i="2"/>
  <c r="C9" i="2" s="1"/>
  <c r="C15" i="5"/>
  <c r="C13" i="5" s="1"/>
  <c r="C9" i="5" s="1"/>
  <c r="D15" i="2"/>
  <c r="H25" i="20"/>
  <c r="C40" i="8"/>
  <c r="D40" i="8" s="1"/>
  <c r="F40" i="8" s="1"/>
  <c r="H21" i="20"/>
  <c r="C36" i="8"/>
  <c r="D36" i="8" s="1"/>
  <c r="F36" i="8" s="1"/>
  <c r="H26" i="20"/>
  <c r="C41" i="8"/>
  <c r="D41" i="8" s="1"/>
  <c r="F41" i="8" s="1"/>
  <c r="H27" i="20"/>
  <c r="C42" i="8"/>
  <c r="D42" i="8" s="1"/>
  <c r="F42" i="8" s="1"/>
  <c r="H16" i="20"/>
  <c r="C33" i="8"/>
  <c r="D33" i="8" s="1"/>
  <c r="F33" i="8" s="1"/>
  <c r="AF14" i="16"/>
  <c r="C43" i="8"/>
  <c r="F43" i="8" s="1"/>
  <c r="D30" i="8"/>
  <c r="F30" i="8" s="1"/>
  <c r="C47" i="8"/>
  <c r="F47" i="8" s="1"/>
  <c r="C25" i="2"/>
  <c r="E8" i="20"/>
  <c r="H9" i="6"/>
  <c r="H10" i="6"/>
  <c r="D9" i="3"/>
  <c r="C14" i="20"/>
  <c r="C9" i="20"/>
  <c r="H19" i="20"/>
  <c r="H20" i="20"/>
  <c r="E12" i="21"/>
  <c r="C9" i="21"/>
  <c r="C8" i="21" s="1"/>
  <c r="D9" i="21"/>
  <c r="E16" i="21"/>
  <c r="H24" i="20"/>
  <c r="H17" i="20"/>
  <c r="H15" i="20"/>
  <c r="R18" i="17"/>
  <c r="E9" i="3" l="1"/>
  <c r="G9" i="3" s="1"/>
  <c r="D15" i="5"/>
  <c r="D13" i="5" s="1"/>
  <c r="D13" i="2"/>
  <c r="C25" i="5"/>
  <c r="C20" i="5" s="1"/>
  <c r="D25" i="2"/>
  <c r="C27" i="4"/>
  <c r="C20" i="2"/>
  <c r="C29" i="8"/>
  <c r="C8" i="20"/>
  <c r="E9" i="21"/>
  <c r="H14" i="20"/>
  <c r="D8" i="21"/>
  <c r="E8" i="21" s="1"/>
  <c r="D17" i="19"/>
  <c r="F17" i="19"/>
  <c r="G17" i="19"/>
  <c r="H17" i="19" s="1"/>
  <c r="I17" i="19" s="1"/>
  <c r="J17" i="19"/>
  <c r="K17" i="19" s="1"/>
  <c r="L17" i="19" s="1"/>
  <c r="F20" i="19"/>
  <c r="G20" i="19"/>
  <c r="H20" i="19" s="1"/>
  <c r="I20" i="19" s="1"/>
  <c r="J21" i="19"/>
  <c r="F22" i="19"/>
  <c r="G22" i="19"/>
  <c r="D40" i="19"/>
  <c r="F40" i="19"/>
  <c r="G40" i="19"/>
  <c r="H40" i="19" s="1"/>
  <c r="J40" i="19"/>
  <c r="F48" i="19"/>
  <c r="G48" i="19"/>
  <c r="H48" i="19" s="1"/>
  <c r="J48" i="19"/>
  <c r="K48" i="19" s="1"/>
  <c r="AL15" i="17"/>
  <c r="AI15" i="17"/>
  <c r="AH15" i="17"/>
  <c r="AG15" i="17"/>
  <c r="AL54" i="17"/>
  <c r="AI54" i="17"/>
  <c r="AH54" i="17"/>
  <c r="AG54" i="17"/>
  <c r="AL53" i="17"/>
  <c r="AI53" i="17"/>
  <c r="AH53" i="17"/>
  <c r="AG53" i="17"/>
  <c r="AL52" i="17"/>
  <c r="AI52" i="17"/>
  <c r="AH52" i="17"/>
  <c r="AG52" i="17"/>
  <c r="AL49" i="17"/>
  <c r="AI49" i="17"/>
  <c r="AH49" i="17"/>
  <c r="AG49" i="17"/>
  <c r="AL48" i="17"/>
  <c r="AI48" i="17"/>
  <c r="AH48" i="17"/>
  <c r="AG48" i="17"/>
  <c r="AL47" i="17"/>
  <c r="AI47" i="17"/>
  <c r="AH47" i="17"/>
  <c r="AG47" i="17"/>
  <c r="AL46" i="17"/>
  <c r="AI46" i="17"/>
  <c r="AH46" i="17"/>
  <c r="AG46" i="17"/>
  <c r="AL45" i="17"/>
  <c r="AI45" i="17"/>
  <c r="AH45" i="17"/>
  <c r="AG45" i="17"/>
  <c r="AL44" i="17"/>
  <c r="AI44" i="17"/>
  <c r="AH44" i="17"/>
  <c r="AG44" i="17"/>
  <c r="AL36" i="17"/>
  <c r="AI36" i="17"/>
  <c r="AH36" i="17"/>
  <c r="AG36" i="17"/>
  <c r="AL35" i="17"/>
  <c r="AI35" i="17"/>
  <c r="AH35" i="17"/>
  <c r="AG35" i="17"/>
  <c r="AF35" i="17" s="1"/>
  <c r="AL34" i="17"/>
  <c r="AI34" i="17"/>
  <c r="AH34" i="17"/>
  <c r="AG34" i="17"/>
  <c r="AL33" i="17"/>
  <c r="AI33" i="17"/>
  <c r="AH33" i="17"/>
  <c r="AG33" i="17"/>
  <c r="AL32" i="17"/>
  <c r="AI32" i="17"/>
  <c r="AH32" i="17"/>
  <c r="AG32" i="17"/>
  <c r="AL31" i="17"/>
  <c r="AI31" i="17"/>
  <c r="AH31" i="17"/>
  <c r="AG31" i="17"/>
  <c r="AL30" i="17"/>
  <c r="AI30" i="17"/>
  <c r="AH30" i="17"/>
  <c r="AG30" i="17"/>
  <c r="AF30" i="17" s="1"/>
  <c r="AL29" i="17"/>
  <c r="AI29" i="17"/>
  <c r="AH29" i="17"/>
  <c r="AG29" i="17"/>
  <c r="AF29" i="17" s="1"/>
  <c r="AL28" i="17"/>
  <c r="AI28" i="17"/>
  <c r="AH28" i="17"/>
  <c r="AG28" i="17"/>
  <c r="AL27" i="17"/>
  <c r="AI27" i="17"/>
  <c r="AH27" i="17"/>
  <c r="AG27" i="17"/>
  <c r="AF27" i="17" s="1"/>
  <c r="AL26" i="17"/>
  <c r="AI26" i="17"/>
  <c r="AH26" i="17"/>
  <c r="AG26" i="17"/>
  <c r="AF26" i="17" s="1"/>
  <c r="AL14" i="17"/>
  <c r="AI14" i="17"/>
  <c r="AH14" i="17"/>
  <c r="AG14" i="17"/>
  <c r="Q23" i="17"/>
  <c r="G21" i="19" s="1"/>
  <c r="U17" i="17"/>
  <c r="V17" i="17"/>
  <c r="AF33" i="17" l="1"/>
  <c r="AF46" i="17"/>
  <c r="AF47" i="17"/>
  <c r="AF45" i="17"/>
  <c r="AF48" i="17"/>
  <c r="AF53" i="17"/>
  <c r="D17" i="8" s="1"/>
  <c r="L48" i="19"/>
  <c r="AF36" i="17"/>
  <c r="AF49" i="17"/>
  <c r="I48" i="19"/>
  <c r="I40" i="19"/>
  <c r="AF34" i="17"/>
  <c r="AF14" i="17"/>
  <c r="AF44" i="17"/>
  <c r="D9" i="5"/>
  <c r="G13" i="5"/>
  <c r="F13" i="5"/>
  <c r="H21" i="19"/>
  <c r="I21" i="19" s="1"/>
  <c r="K40" i="19"/>
  <c r="L40" i="19" s="1"/>
  <c r="AF28" i="17"/>
  <c r="E27" i="4"/>
  <c r="C27" i="7"/>
  <c r="C10" i="4"/>
  <c r="AF31" i="17"/>
  <c r="AF54" i="17"/>
  <c r="D25" i="5"/>
  <c r="D20" i="5" s="1"/>
  <c r="E25" i="2"/>
  <c r="E20" i="2" s="1"/>
  <c r="D20" i="2"/>
  <c r="F20" i="2" s="1"/>
  <c r="F13" i="2"/>
  <c r="D9" i="2"/>
  <c r="F9" i="2" s="1"/>
  <c r="AF32" i="17"/>
  <c r="D19" i="8" s="1"/>
  <c r="AF52" i="17"/>
  <c r="D14" i="8" s="1"/>
  <c r="AF15" i="17"/>
  <c r="G19" i="19"/>
  <c r="H22" i="19"/>
  <c r="K21" i="19"/>
  <c r="X58" i="16"/>
  <c r="W58" i="16"/>
  <c r="V58" i="16"/>
  <c r="U58" i="16" s="1"/>
  <c r="W50" i="16"/>
  <c r="V50" i="16"/>
  <c r="W47" i="16"/>
  <c r="V47" i="16"/>
  <c r="W28" i="16"/>
  <c r="V28" i="16"/>
  <c r="AA23" i="16"/>
  <c r="W23" i="16"/>
  <c r="V23" i="16"/>
  <c r="V21" i="16"/>
  <c r="W21" i="16"/>
  <c r="I60" i="16"/>
  <c r="AB60" i="16"/>
  <c r="V60" i="16" s="1"/>
  <c r="W60" i="16"/>
  <c r="W55" i="16"/>
  <c r="V55" i="16"/>
  <c r="X53" i="16"/>
  <c r="W53" i="16"/>
  <c r="V53" i="16"/>
  <c r="U53" i="16" s="1"/>
  <c r="F45" i="16"/>
  <c r="Y45" i="16"/>
  <c r="V45" i="16" s="1"/>
  <c r="W45" i="16"/>
  <c r="X42" i="16"/>
  <c r="W42" i="16"/>
  <c r="V42" i="16"/>
  <c r="U42" i="16" s="1"/>
  <c r="AB37" i="16"/>
  <c r="AA37" i="16" s="1"/>
  <c r="W37" i="16"/>
  <c r="AB39" i="16"/>
  <c r="AA39" i="16" s="1"/>
  <c r="W39" i="16"/>
  <c r="V39" i="16"/>
  <c r="U39" i="16" s="1"/>
  <c r="AB33" i="16"/>
  <c r="AA33" i="16" s="1"/>
  <c r="W33" i="16"/>
  <c r="AB31" i="16"/>
  <c r="AA31" i="16" s="1"/>
  <c r="W31" i="16"/>
  <c r="AC25" i="16"/>
  <c r="W25" i="16" s="1"/>
  <c r="AB25" i="16"/>
  <c r="W15" i="16"/>
  <c r="V15" i="16"/>
  <c r="U15" i="16" s="1"/>
  <c r="W13" i="16"/>
  <c r="V13" i="16"/>
  <c r="U13" i="16" s="1"/>
  <c r="O45" i="16"/>
  <c r="S39" i="16"/>
  <c r="O37" i="16"/>
  <c r="O36" i="16" s="1"/>
  <c r="Q36" i="16"/>
  <c r="P36" i="16"/>
  <c r="S25" i="16"/>
  <c r="L37" i="16"/>
  <c r="L45" i="16"/>
  <c r="M44" i="16"/>
  <c r="M38" i="16"/>
  <c r="A3" i="19"/>
  <c r="A4" i="21" s="1"/>
  <c r="A3" i="20" s="1"/>
  <c r="A4" i="2" s="1"/>
  <c r="A4" i="3" s="1"/>
  <c r="A4" i="4" s="1"/>
  <c r="A4" i="6" s="1"/>
  <c r="A4" i="7" s="1"/>
  <c r="U23" i="16" l="1"/>
  <c r="U28" i="16"/>
  <c r="U47" i="16"/>
  <c r="U60" i="16"/>
  <c r="U50" i="16"/>
  <c r="V31" i="16"/>
  <c r="U31" i="16" s="1"/>
  <c r="H19" i="19"/>
  <c r="AA25" i="16"/>
  <c r="G20" i="5"/>
  <c r="F20" i="5"/>
  <c r="C10" i="7"/>
  <c r="F27" i="7"/>
  <c r="G27" i="7"/>
  <c r="F9" i="5"/>
  <c r="G9" i="5"/>
  <c r="A4" i="8"/>
  <c r="A4" i="9" s="1"/>
  <c r="A4" i="10" s="1"/>
  <c r="A4" i="12" s="1"/>
  <c r="A4" i="13" s="1"/>
  <c r="A3" i="24"/>
  <c r="A3" i="25" s="1"/>
  <c r="AA60" i="16"/>
  <c r="G27" i="4"/>
  <c r="E10" i="4"/>
  <c r="G10" i="4" s="1"/>
  <c r="F27" i="4"/>
  <c r="F10" i="4" s="1"/>
  <c r="X45" i="16"/>
  <c r="U45" i="16"/>
  <c r="U55" i="16"/>
  <c r="I22" i="19"/>
  <c r="I19" i="19" s="1"/>
  <c r="L21" i="19"/>
  <c r="U21" i="16"/>
  <c r="AA21" i="16"/>
  <c r="V37" i="16"/>
  <c r="U37" i="16" s="1"/>
  <c r="V33" i="16"/>
  <c r="U33" i="16" s="1"/>
  <c r="V25" i="16"/>
  <c r="U25" i="16" s="1"/>
  <c r="AL57" i="17"/>
  <c r="AI57" i="17"/>
  <c r="AH57" i="17"/>
  <c r="AG57" i="17"/>
  <c r="AF57" i="17" s="1"/>
  <c r="AL56" i="17"/>
  <c r="AI56" i="17"/>
  <c r="AH56" i="17"/>
  <c r="AG56" i="17"/>
  <c r="AF56" i="17" s="1"/>
  <c r="AL50" i="17"/>
  <c r="AI50" i="17"/>
  <c r="AH50" i="17"/>
  <c r="AG50" i="17"/>
  <c r="AL42" i="17"/>
  <c r="AI42" i="17"/>
  <c r="AW42" i="17" s="1"/>
  <c r="AH42" i="17"/>
  <c r="AG42" i="17"/>
  <c r="AL19" i="17"/>
  <c r="AG19" i="17"/>
  <c r="AH19" i="17"/>
  <c r="AI19" i="17"/>
  <c r="AW19" i="17" s="1"/>
  <c r="AC14" i="17"/>
  <c r="AF30" i="15"/>
  <c r="AE30" i="15"/>
  <c r="AD30" i="15"/>
  <c r="AB30" i="15"/>
  <c r="AA30" i="15"/>
  <c r="Z30" i="15"/>
  <c r="Y30" i="15"/>
  <c r="X30" i="15"/>
  <c r="W30" i="15"/>
  <c r="V30" i="15"/>
  <c r="U30" i="15"/>
  <c r="T30" i="15"/>
  <c r="P30" i="15"/>
  <c r="O30" i="15"/>
  <c r="N30" i="15"/>
  <c r="M30" i="15"/>
  <c r="L30" i="15"/>
  <c r="K30" i="15"/>
  <c r="J30" i="15"/>
  <c r="I30" i="15"/>
  <c r="H30" i="15"/>
  <c r="Z57" i="17"/>
  <c r="Y57" i="17"/>
  <c r="X57" i="17"/>
  <c r="T57" i="17"/>
  <c r="J55" i="19" s="1"/>
  <c r="K55" i="19" s="1"/>
  <c r="L55" i="19" s="1"/>
  <c r="Q57" i="17"/>
  <c r="G55" i="19" s="1"/>
  <c r="P57" i="17"/>
  <c r="O57" i="17"/>
  <c r="N57" i="17" s="1"/>
  <c r="F55" i="19" s="1"/>
  <c r="K57" i="17"/>
  <c r="H57" i="17"/>
  <c r="G57" i="17"/>
  <c r="AV57" i="17" s="1"/>
  <c r="F57" i="17"/>
  <c r="Z56" i="17"/>
  <c r="Z51" i="17" s="1"/>
  <c r="Y56" i="17"/>
  <c r="X56" i="17"/>
  <c r="T56" i="17"/>
  <c r="J54" i="19" s="1"/>
  <c r="K54" i="19" s="1"/>
  <c r="L54" i="19" s="1"/>
  <c r="Q56" i="17"/>
  <c r="G54" i="19" s="1"/>
  <c r="P56" i="17"/>
  <c r="O56" i="17"/>
  <c r="K56" i="17"/>
  <c r="H56" i="17"/>
  <c r="G56" i="17"/>
  <c r="F56" i="17"/>
  <c r="AU56" i="17" s="1"/>
  <c r="T55" i="17"/>
  <c r="J53" i="19" s="1"/>
  <c r="K53" i="19" s="1"/>
  <c r="L53" i="19" s="1"/>
  <c r="S55" i="17"/>
  <c r="AK51" i="17" s="1"/>
  <c r="O55" i="17"/>
  <c r="K55" i="17"/>
  <c r="H55" i="17"/>
  <c r="G55" i="17"/>
  <c r="F55" i="17"/>
  <c r="AU55" i="17" s="1"/>
  <c r="T54" i="17"/>
  <c r="J52" i="19" s="1"/>
  <c r="Q54" i="17"/>
  <c r="G52" i="19" s="1"/>
  <c r="P54" i="17"/>
  <c r="O54" i="17"/>
  <c r="K54" i="17"/>
  <c r="H54" i="17"/>
  <c r="G54" i="17"/>
  <c r="AV54" i="17" s="1"/>
  <c r="F54" i="17"/>
  <c r="AU54" i="17" s="1"/>
  <c r="Y53" i="17"/>
  <c r="X53" i="17"/>
  <c r="T53" i="17"/>
  <c r="J51" i="19" s="1"/>
  <c r="K51" i="19" s="1"/>
  <c r="L51" i="19" s="1"/>
  <c r="Q53" i="17"/>
  <c r="G51" i="19" s="1"/>
  <c r="P53" i="17"/>
  <c r="O53" i="17"/>
  <c r="N53" i="17" s="1"/>
  <c r="F51" i="19" s="1"/>
  <c r="K53" i="17"/>
  <c r="H53" i="17"/>
  <c r="G53" i="17"/>
  <c r="AV53" i="17" s="1"/>
  <c r="F53" i="17"/>
  <c r="AU53" i="17" s="1"/>
  <c r="Y52" i="17"/>
  <c r="X52" i="17"/>
  <c r="T52" i="17"/>
  <c r="J50" i="19" s="1"/>
  <c r="Q52" i="17"/>
  <c r="G50" i="19" s="1"/>
  <c r="P52" i="17"/>
  <c r="O52" i="17"/>
  <c r="K52" i="17"/>
  <c r="H52" i="17"/>
  <c r="G52" i="17"/>
  <c r="AV52" i="17" s="1"/>
  <c r="F52" i="17"/>
  <c r="AU52" i="17" s="1"/>
  <c r="AE51" i="17"/>
  <c r="AD51" i="17"/>
  <c r="AC51" i="17"/>
  <c r="AB51" i="17"/>
  <c r="AA51" i="17"/>
  <c r="V51" i="17"/>
  <c r="U51" i="17"/>
  <c r="R51" i="17"/>
  <c r="M51" i="17"/>
  <c r="L51" i="17"/>
  <c r="J51" i="17"/>
  <c r="I51" i="17"/>
  <c r="AC50" i="17"/>
  <c r="AC43" i="17" s="1"/>
  <c r="Z50" i="17"/>
  <c r="Z43" i="17" s="1"/>
  <c r="Y50" i="17"/>
  <c r="X50" i="17"/>
  <c r="K50" i="17"/>
  <c r="H50" i="17"/>
  <c r="G50" i="17"/>
  <c r="AV50" i="17" s="1"/>
  <c r="F50" i="17"/>
  <c r="AU50" i="17" s="1"/>
  <c r="T49" i="17"/>
  <c r="J47" i="19" s="1"/>
  <c r="K47" i="19" s="1"/>
  <c r="L47" i="19" s="1"/>
  <c r="Q49" i="17"/>
  <c r="G47" i="19" s="1"/>
  <c r="P49" i="17"/>
  <c r="O49" i="17"/>
  <c r="K49" i="17"/>
  <c r="H49" i="17"/>
  <c r="G49" i="17"/>
  <c r="AV49" i="17" s="1"/>
  <c r="F49" i="17"/>
  <c r="AU49" i="17" s="1"/>
  <c r="Y48" i="17"/>
  <c r="X48" i="17"/>
  <c r="W48" i="17" s="1"/>
  <c r="T48" i="17"/>
  <c r="J46" i="19" s="1"/>
  <c r="Q48" i="17"/>
  <c r="G46" i="19" s="1"/>
  <c r="P48" i="17"/>
  <c r="O48" i="17"/>
  <c r="K48" i="17"/>
  <c r="H48" i="17"/>
  <c r="G48" i="17"/>
  <c r="AV48" i="17" s="1"/>
  <c r="F48" i="17"/>
  <c r="AU48" i="17" s="1"/>
  <c r="T47" i="17"/>
  <c r="J45" i="19" s="1"/>
  <c r="K45" i="19" s="1"/>
  <c r="L45" i="19" s="1"/>
  <c r="Q47" i="17"/>
  <c r="G45" i="19" s="1"/>
  <c r="P47" i="17"/>
  <c r="O47" i="17"/>
  <c r="K47" i="17"/>
  <c r="H47" i="17"/>
  <c r="G47" i="17"/>
  <c r="AV47" i="17" s="1"/>
  <c r="F47" i="17"/>
  <c r="Y46" i="17"/>
  <c r="X46" i="17"/>
  <c r="T46" i="17"/>
  <c r="J44" i="19" s="1"/>
  <c r="Q46" i="17"/>
  <c r="G44" i="19" s="1"/>
  <c r="H44" i="19" s="1"/>
  <c r="I44" i="19" s="1"/>
  <c r="P46" i="17"/>
  <c r="O46" i="17"/>
  <c r="K46" i="17"/>
  <c r="H46" i="17"/>
  <c r="G46" i="17"/>
  <c r="F46" i="17"/>
  <c r="AU46" i="17" s="1"/>
  <c r="AJ43" i="17"/>
  <c r="Y45" i="17"/>
  <c r="X45" i="17"/>
  <c r="T45" i="17"/>
  <c r="J43" i="19" s="1"/>
  <c r="K43" i="19" s="1"/>
  <c r="L43" i="19" s="1"/>
  <c r="Q45" i="17"/>
  <c r="G43" i="19" s="1"/>
  <c r="P45" i="17"/>
  <c r="O45" i="17"/>
  <c r="K45" i="17"/>
  <c r="H45" i="17"/>
  <c r="G45" i="17"/>
  <c r="AV45" i="17" s="1"/>
  <c r="F45" i="17"/>
  <c r="Y44" i="17"/>
  <c r="X44" i="17"/>
  <c r="T44" i="17"/>
  <c r="J42" i="19" s="1"/>
  <c r="Q44" i="17"/>
  <c r="G42" i="19" s="1"/>
  <c r="P44" i="17"/>
  <c r="O44" i="17"/>
  <c r="K44" i="17"/>
  <c r="H44" i="17"/>
  <c r="G44" i="17"/>
  <c r="AV44" i="17" s="1"/>
  <c r="F44" i="17"/>
  <c r="AU44" i="17" s="1"/>
  <c r="AM43" i="17"/>
  <c r="AE43" i="17"/>
  <c r="AD43" i="17"/>
  <c r="AB43" i="17"/>
  <c r="AA43" i="17"/>
  <c r="V43" i="17"/>
  <c r="U43" i="17"/>
  <c r="S43" i="17"/>
  <c r="R43" i="17"/>
  <c r="M43" i="17"/>
  <c r="L43" i="17"/>
  <c r="J43" i="17"/>
  <c r="I43" i="17"/>
  <c r="AC42" i="17"/>
  <c r="Y42" i="17"/>
  <c r="X42" i="17"/>
  <c r="K42" i="17"/>
  <c r="G42" i="17"/>
  <c r="AV42" i="17" s="1"/>
  <c r="F42" i="17"/>
  <c r="U41" i="17"/>
  <c r="O41" i="17" s="1"/>
  <c r="Q41" i="17"/>
  <c r="G39" i="19" s="1"/>
  <c r="P41" i="17"/>
  <c r="M41" i="17"/>
  <c r="L41" i="17"/>
  <c r="H41" i="17"/>
  <c r="U40" i="17"/>
  <c r="T40" i="17" s="1"/>
  <c r="J38" i="19" s="1"/>
  <c r="Q40" i="17"/>
  <c r="G38" i="19" s="1"/>
  <c r="H38" i="19" s="1"/>
  <c r="I38" i="19" s="1"/>
  <c r="P40" i="17"/>
  <c r="K40" i="17"/>
  <c r="H40" i="17"/>
  <c r="G40" i="17"/>
  <c r="AV40" i="17" s="1"/>
  <c r="F40" i="17"/>
  <c r="AU40" i="17" s="1"/>
  <c r="T39" i="17"/>
  <c r="J37" i="19" s="1"/>
  <c r="K37" i="19" s="1"/>
  <c r="L37" i="19" s="1"/>
  <c r="Q39" i="17"/>
  <c r="G37" i="19" s="1"/>
  <c r="P39" i="17"/>
  <c r="O39" i="17"/>
  <c r="N39" i="17" s="1"/>
  <c r="F37" i="19" s="1"/>
  <c r="K39" i="17"/>
  <c r="H39" i="17"/>
  <c r="G39" i="17"/>
  <c r="AV39" i="17" s="1"/>
  <c r="F39" i="17"/>
  <c r="T38" i="17"/>
  <c r="J36" i="19" s="1"/>
  <c r="Q38" i="17"/>
  <c r="G36" i="19" s="1"/>
  <c r="P38" i="17"/>
  <c r="O38" i="17"/>
  <c r="M38" i="17"/>
  <c r="G38" i="17" s="1"/>
  <c r="AV38" i="17" s="1"/>
  <c r="L38" i="17"/>
  <c r="H38" i="17"/>
  <c r="Z37" i="17"/>
  <c r="Z25" i="17" s="1"/>
  <c r="Y37" i="17"/>
  <c r="X37" i="17"/>
  <c r="T37" i="17"/>
  <c r="J35" i="19" s="1"/>
  <c r="K35" i="19" s="1"/>
  <c r="L35" i="19" s="1"/>
  <c r="Q37" i="17"/>
  <c r="G35" i="19" s="1"/>
  <c r="P37" i="17"/>
  <c r="O37" i="17"/>
  <c r="K37" i="17"/>
  <c r="H37" i="17"/>
  <c r="G37" i="17"/>
  <c r="AV37" i="17" s="1"/>
  <c r="F37" i="17"/>
  <c r="Y36" i="17"/>
  <c r="X36" i="17"/>
  <c r="T36" i="17"/>
  <c r="J34" i="19" s="1"/>
  <c r="Q36" i="17"/>
  <c r="G34" i="19" s="1"/>
  <c r="P36" i="17"/>
  <c r="O36" i="17"/>
  <c r="K36" i="17"/>
  <c r="H36" i="17"/>
  <c r="G36" i="17"/>
  <c r="AV36" i="17" s="1"/>
  <c r="F36" i="17"/>
  <c r="AU36" i="17" s="1"/>
  <c r="Y35" i="17"/>
  <c r="X35" i="17"/>
  <c r="T35" i="17"/>
  <c r="J33" i="19" s="1"/>
  <c r="K33" i="19" s="1"/>
  <c r="L33" i="19" s="1"/>
  <c r="Q35" i="17"/>
  <c r="G33" i="19" s="1"/>
  <c r="P35" i="17"/>
  <c r="O35" i="17"/>
  <c r="K35" i="17"/>
  <c r="H35" i="17"/>
  <c r="G35" i="17"/>
  <c r="AV35" i="17" s="1"/>
  <c r="F35" i="17"/>
  <c r="AU35" i="17" s="1"/>
  <c r="Y34" i="17"/>
  <c r="X34" i="17"/>
  <c r="T34" i="17"/>
  <c r="J32" i="19" s="1"/>
  <c r="Q34" i="17"/>
  <c r="G32" i="19" s="1"/>
  <c r="H32" i="19" s="1"/>
  <c r="I32" i="19" s="1"/>
  <c r="P34" i="17"/>
  <c r="O34" i="17"/>
  <c r="K34" i="17"/>
  <c r="H34" i="17"/>
  <c r="G34" i="17"/>
  <c r="AV34" i="17" s="1"/>
  <c r="F34" i="17"/>
  <c r="AU34" i="17" s="1"/>
  <c r="Y33" i="17"/>
  <c r="X33" i="17"/>
  <c r="T33" i="17"/>
  <c r="J31" i="19" s="1"/>
  <c r="K31" i="19" s="1"/>
  <c r="L31" i="19" s="1"/>
  <c r="Q33" i="17"/>
  <c r="G31" i="19" s="1"/>
  <c r="P33" i="17"/>
  <c r="O33" i="17"/>
  <c r="K33" i="17"/>
  <c r="H33" i="17"/>
  <c r="G33" i="17"/>
  <c r="AV33" i="17" s="1"/>
  <c r="F33" i="17"/>
  <c r="Y32" i="17"/>
  <c r="X32" i="17"/>
  <c r="T32" i="17"/>
  <c r="J30" i="19" s="1"/>
  <c r="Q32" i="17"/>
  <c r="G30" i="19" s="1"/>
  <c r="P32" i="17"/>
  <c r="O32" i="17"/>
  <c r="K32" i="17"/>
  <c r="H32" i="17"/>
  <c r="G32" i="17"/>
  <c r="AV32" i="17" s="1"/>
  <c r="F32" i="17"/>
  <c r="AU32" i="17" s="1"/>
  <c r="Y31" i="17"/>
  <c r="X31" i="17"/>
  <c r="T31" i="17"/>
  <c r="J29" i="19" s="1"/>
  <c r="K29" i="19" s="1"/>
  <c r="L29" i="19" s="1"/>
  <c r="Q31" i="17"/>
  <c r="G29" i="19" s="1"/>
  <c r="P31" i="17"/>
  <c r="O31" i="17"/>
  <c r="K31" i="17"/>
  <c r="H31" i="17"/>
  <c r="G31" i="17"/>
  <c r="AV31" i="17" s="1"/>
  <c r="F31" i="17"/>
  <c r="AU31" i="17" s="1"/>
  <c r="Y30" i="17"/>
  <c r="X30" i="17"/>
  <c r="T30" i="17"/>
  <c r="J28" i="19" s="1"/>
  <c r="Q30" i="17"/>
  <c r="G28" i="19" s="1"/>
  <c r="P30" i="17"/>
  <c r="O30" i="17"/>
  <c r="K30" i="17"/>
  <c r="H30" i="17"/>
  <c r="G30" i="17"/>
  <c r="AV30" i="17" s="1"/>
  <c r="F30" i="17"/>
  <c r="AU30" i="17" s="1"/>
  <c r="Y29" i="17"/>
  <c r="X29" i="17"/>
  <c r="T29" i="17"/>
  <c r="J27" i="19" s="1"/>
  <c r="K27" i="19" s="1"/>
  <c r="L27" i="19" s="1"/>
  <c r="Q29" i="17"/>
  <c r="G27" i="19" s="1"/>
  <c r="P29" i="17"/>
  <c r="O29" i="17"/>
  <c r="K29" i="17"/>
  <c r="H29" i="17"/>
  <c r="G29" i="17"/>
  <c r="AV29" i="17" s="1"/>
  <c r="F29" i="17"/>
  <c r="AU29" i="17" s="1"/>
  <c r="T28" i="17"/>
  <c r="J26" i="19" s="1"/>
  <c r="Q28" i="17"/>
  <c r="G26" i="19" s="1"/>
  <c r="H26" i="19" s="1"/>
  <c r="I26" i="19" s="1"/>
  <c r="P28" i="17"/>
  <c r="O28" i="17"/>
  <c r="K28" i="17"/>
  <c r="H28" i="17"/>
  <c r="G28" i="17"/>
  <c r="AV28" i="17" s="1"/>
  <c r="F28" i="17"/>
  <c r="T27" i="17"/>
  <c r="J25" i="19" s="1"/>
  <c r="K25" i="19" s="1"/>
  <c r="L25" i="19" s="1"/>
  <c r="Q27" i="17"/>
  <c r="G25" i="19" s="1"/>
  <c r="P27" i="17"/>
  <c r="O27" i="17"/>
  <c r="K27" i="17"/>
  <c r="H27" i="17"/>
  <c r="G27" i="17"/>
  <c r="AV27" i="17" s="1"/>
  <c r="F27" i="17"/>
  <c r="AU27" i="17" s="1"/>
  <c r="AE26" i="17"/>
  <c r="AD26" i="17"/>
  <c r="X26" i="17" s="1"/>
  <c r="T26" i="17"/>
  <c r="J24" i="19" s="1"/>
  <c r="Q26" i="17"/>
  <c r="G24" i="19" s="1"/>
  <c r="P26" i="17"/>
  <c r="O26" i="17"/>
  <c r="K26" i="17"/>
  <c r="H26" i="17"/>
  <c r="G26" i="17"/>
  <c r="AV26" i="17" s="1"/>
  <c r="F26" i="17"/>
  <c r="AU26" i="17" s="1"/>
  <c r="AB25" i="17"/>
  <c r="AA25" i="17"/>
  <c r="V25" i="17"/>
  <c r="S25" i="17"/>
  <c r="R25" i="17"/>
  <c r="J25" i="17"/>
  <c r="I25" i="17"/>
  <c r="T24" i="17"/>
  <c r="J22" i="19" s="1"/>
  <c r="M24" i="17"/>
  <c r="BB24" i="17" s="1"/>
  <c r="L24" i="17"/>
  <c r="H24" i="17"/>
  <c r="K23" i="17"/>
  <c r="H23" i="17"/>
  <c r="G23" i="17"/>
  <c r="AV23" i="17" s="1"/>
  <c r="F23" i="17"/>
  <c r="AU23" i="17" s="1"/>
  <c r="Q21" i="17"/>
  <c r="M22" i="17"/>
  <c r="BB22" i="17" s="1"/>
  <c r="L22" i="17"/>
  <c r="BA22" i="17" s="1"/>
  <c r="H22" i="17"/>
  <c r="AE21" i="17"/>
  <c r="AD21" i="17"/>
  <c r="AC21" i="17"/>
  <c r="AB21" i="17"/>
  <c r="AA21" i="17"/>
  <c r="Z21" i="17"/>
  <c r="Y21" i="17"/>
  <c r="X21" i="17"/>
  <c r="W21" i="17"/>
  <c r="V21" i="17"/>
  <c r="S21" i="17"/>
  <c r="R21" i="17"/>
  <c r="J21" i="17"/>
  <c r="I21" i="17"/>
  <c r="AC19" i="17"/>
  <c r="Y19" i="17"/>
  <c r="X19" i="17"/>
  <c r="K19" i="17"/>
  <c r="G19" i="17"/>
  <c r="F19" i="17"/>
  <c r="T18" i="17"/>
  <c r="J16" i="19" s="1"/>
  <c r="Q18" i="17"/>
  <c r="G16" i="19" s="1"/>
  <c r="P18" i="17"/>
  <c r="O18" i="17"/>
  <c r="K18" i="17"/>
  <c r="I18" i="17"/>
  <c r="G18" i="17"/>
  <c r="AV18" i="17" s="1"/>
  <c r="T17" i="17"/>
  <c r="J15" i="19" s="1"/>
  <c r="K15" i="19" s="1"/>
  <c r="L15" i="19" s="1"/>
  <c r="Q17" i="17"/>
  <c r="G15" i="19" s="1"/>
  <c r="H15" i="19" s="1"/>
  <c r="N17" i="17"/>
  <c r="F15" i="19" s="1"/>
  <c r="K17" i="17"/>
  <c r="H17" i="17"/>
  <c r="G17" i="17"/>
  <c r="AV17" i="17" s="1"/>
  <c r="F17" i="17"/>
  <c r="AU17" i="17" s="1"/>
  <c r="T16" i="17"/>
  <c r="J14" i="19" s="1"/>
  <c r="Q16" i="17"/>
  <c r="G14" i="19" s="1"/>
  <c r="H14" i="19" s="1"/>
  <c r="P16" i="17"/>
  <c r="O16" i="17"/>
  <c r="K16" i="17"/>
  <c r="H16" i="17"/>
  <c r="G16" i="17"/>
  <c r="AV16" i="17" s="1"/>
  <c r="F16" i="17"/>
  <c r="AU16" i="17" s="1"/>
  <c r="T15" i="17"/>
  <c r="J13" i="19" s="1"/>
  <c r="K13" i="19" s="1"/>
  <c r="L13" i="19" s="1"/>
  <c r="Q15" i="17"/>
  <c r="G13" i="19" s="1"/>
  <c r="P15" i="17"/>
  <c r="O15" i="17"/>
  <c r="K15" i="17"/>
  <c r="H15" i="17"/>
  <c r="G15" i="17"/>
  <c r="AV15" i="17" s="1"/>
  <c r="F15" i="17"/>
  <c r="Y14" i="17"/>
  <c r="T14" i="17"/>
  <c r="J12" i="19" s="1"/>
  <c r="Q14" i="17"/>
  <c r="G12" i="19" s="1"/>
  <c r="P14" i="17"/>
  <c r="O14" i="17"/>
  <c r="K14" i="17"/>
  <c r="H14" i="17"/>
  <c r="G14" i="17"/>
  <c r="AV14" i="17" s="1"/>
  <c r="F14" i="17"/>
  <c r="AE13" i="17"/>
  <c r="AE12" i="17" s="1"/>
  <c r="AB13" i="17"/>
  <c r="AB12" i="17" s="1"/>
  <c r="AA13" i="17"/>
  <c r="AA12" i="17" s="1"/>
  <c r="Z13" i="17"/>
  <c r="Z12" i="17" s="1"/>
  <c r="V13" i="17"/>
  <c r="V12" i="17" s="1"/>
  <c r="U13" i="17"/>
  <c r="U12" i="17" s="1"/>
  <c r="S13" i="17"/>
  <c r="S12" i="17" s="1"/>
  <c r="R13" i="17"/>
  <c r="R12" i="17" s="1"/>
  <c r="M13" i="17"/>
  <c r="L13" i="17"/>
  <c r="J13" i="17"/>
  <c r="N27" i="17" l="1"/>
  <c r="F25" i="19" s="1"/>
  <c r="AA20" i="17"/>
  <c r="R20" i="17"/>
  <c r="W42" i="17"/>
  <c r="S20" i="17"/>
  <c r="A4" i="14"/>
  <c r="A4" i="1" s="1"/>
  <c r="A4" i="15" s="1"/>
  <c r="A3" i="23"/>
  <c r="L25" i="17"/>
  <c r="N33" i="17"/>
  <c r="F31" i="19" s="1"/>
  <c r="AU19" i="17"/>
  <c r="W36" i="17"/>
  <c r="E26" i="17"/>
  <c r="AT26" i="17" s="1"/>
  <c r="N18" i="17"/>
  <c r="F16" i="19" s="1"/>
  <c r="W46" i="17"/>
  <c r="N54" i="17"/>
  <c r="F52" i="19" s="1"/>
  <c r="AV56" i="17"/>
  <c r="AY51" i="17"/>
  <c r="N34" i="17"/>
  <c r="F32" i="19" s="1"/>
  <c r="AF50" i="17"/>
  <c r="F10" i="7"/>
  <c r="G10" i="7"/>
  <c r="E15" i="17"/>
  <c r="AU15" i="17"/>
  <c r="AZ57" i="17"/>
  <c r="E55" i="19"/>
  <c r="AD25" i="17"/>
  <c r="K24" i="19"/>
  <c r="AZ16" i="17"/>
  <c r="E14" i="19"/>
  <c r="H21" i="17"/>
  <c r="AW23" i="17"/>
  <c r="D21" i="19"/>
  <c r="E28" i="17"/>
  <c r="AU28" i="17"/>
  <c r="H28" i="19"/>
  <c r="I28" i="19" s="1"/>
  <c r="E33" i="17"/>
  <c r="AU33" i="17"/>
  <c r="AW34" i="17"/>
  <c r="D32" i="19"/>
  <c r="H34" i="19"/>
  <c r="I34" i="19" s="1"/>
  <c r="E39" i="17"/>
  <c r="AU39" i="17"/>
  <c r="AZ40" i="17"/>
  <c r="E38" i="19"/>
  <c r="AZ42" i="17"/>
  <c r="E40" i="19"/>
  <c r="G41" i="19"/>
  <c r="H42" i="19"/>
  <c r="AZ48" i="17"/>
  <c r="E46" i="19"/>
  <c r="N49" i="17"/>
  <c r="F47" i="19" s="1"/>
  <c r="AZ53" i="17"/>
  <c r="E51" i="19"/>
  <c r="AW57" i="17"/>
  <c r="D55" i="19"/>
  <c r="AZ23" i="17"/>
  <c r="E21" i="19"/>
  <c r="H52" i="19"/>
  <c r="I52" i="19" s="1"/>
  <c r="K52" i="19"/>
  <c r="L52" i="19" s="1"/>
  <c r="F24" i="17"/>
  <c r="AU24" i="17" s="1"/>
  <c r="BA24" i="17"/>
  <c r="AZ28" i="17"/>
  <c r="E26" i="19"/>
  <c r="AZ33" i="17"/>
  <c r="E31" i="19"/>
  <c r="AZ39" i="17"/>
  <c r="E37" i="19"/>
  <c r="K38" i="19"/>
  <c r="L38" i="19" s="1"/>
  <c r="AW47" i="17"/>
  <c r="D45" i="19"/>
  <c r="H46" i="19"/>
  <c r="I46" i="19" s="1"/>
  <c r="H51" i="19"/>
  <c r="I51" i="19" s="1"/>
  <c r="AZ15" i="17"/>
  <c r="E13" i="19"/>
  <c r="L21" i="17"/>
  <c r="AW32" i="17"/>
  <c r="D30" i="19"/>
  <c r="AW41" i="17"/>
  <c r="D39" i="19"/>
  <c r="AX43" i="17"/>
  <c r="E45" i="17"/>
  <c r="AU45" i="17"/>
  <c r="E46" i="17"/>
  <c r="AV46" i="17"/>
  <c r="AZ47" i="17"/>
  <c r="E45" i="19"/>
  <c r="K46" i="19"/>
  <c r="L46" i="19" s="1"/>
  <c r="E55" i="17"/>
  <c r="AV55" i="17"/>
  <c r="N56" i="17"/>
  <c r="F54" i="19" s="1"/>
  <c r="H55" i="19"/>
  <c r="I55" i="19" s="1"/>
  <c r="E47" i="17"/>
  <c r="AU47" i="17"/>
  <c r="H51" i="17"/>
  <c r="AW56" i="17"/>
  <c r="D54" i="19"/>
  <c r="H33" i="19"/>
  <c r="I33" i="19"/>
  <c r="K14" i="19"/>
  <c r="L14" i="19" s="1"/>
  <c r="J12" i="17"/>
  <c r="H16" i="19"/>
  <c r="I16" i="19" s="1"/>
  <c r="F22" i="17"/>
  <c r="AU22" i="17" s="1"/>
  <c r="AW27" i="17"/>
  <c r="D25" i="19"/>
  <c r="AZ32" i="17"/>
  <c r="E30" i="19"/>
  <c r="K32" i="19"/>
  <c r="L32" i="19" s="1"/>
  <c r="E37" i="17"/>
  <c r="AU37" i="17"/>
  <c r="AW38" i="17"/>
  <c r="D36" i="19"/>
  <c r="F41" i="17"/>
  <c r="AU41" i="17" s="1"/>
  <c r="BA41" i="17"/>
  <c r="AW46" i="17"/>
  <c r="D44" i="19"/>
  <c r="AW50" i="17"/>
  <c r="D48" i="19"/>
  <c r="H50" i="19"/>
  <c r="AW55" i="17"/>
  <c r="D53" i="19"/>
  <c r="H54" i="19"/>
  <c r="I54" i="19"/>
  <c r="AZ34" i="17"/>
  <c r="E32" i="19"/>
  <c r="AW24" i="17"/>
  <c r="D22" i="19"/>
  <c r="AW28" i="17"/>
  <c r="D26" i="19"/>
  <c r="AW39" i="17"/>
  <c r="D37" i="19"/>
  <c r="AZ52" i="17"/>
  <c r="E50" i="19"/>
  <c r="K16" i="19"/>
  <c r="L16" i="19"/>
  <c r="AW22" i="17"/>
  <c r="D20" i="19"/>
  <c r="AW26" i="17"/>
  <c r="D24" i="19"/>
  <c r="AZ27" i="17"/>
  <c r="E25" i="19"/>
  <c r="AW31" i="17"/>
  <c r="D29" i="19"/>
  <c r="H31" i="19"/>
  <c r="I31" i="19" s="1"/>
  <c r="K38" i="17"/>
  <c r="BA38" i="17"/>
  <c r="G41" i="17"/>
  <c r="AV41" i="17" s="1"/>
  <c r="BB41" i="17"/>
  <c r="BA43" i="17"/>
  <c r="AW45" i="17"/>
  <c r="D43" i="19"/>
  <c r="AZ46" i="17"/>
  <c r="E44" i="19"/>
  <c r="AZ50" i="17"/>
  <c r="E48" i="19"/>
  <c r="J49" i="19"/>
  <c r="K50" i="19"/>
  <c r="AZ55" i="17"/>
  <c r="E53" i="19"/>
  <c r="AZ18" i="17"/>
  <c r="E16" i="19"/>
  <c r="AW33" i="17"/>
  <c r="D31" i="19"/>
  <c r="AZ56" i="17"/>
  <c r="E54" i="19"/>
  <c r="AZ14" i="17"/>
  <c r="E12" i="19"/>
  <c r="V20" i="17"/>
  <c r="V11" i="17" s="1"/>
  <c r="V9" i="17" s="1"/>
  <c r="J20" i="17"/>
  <c r="AZ26" i="17"/>
  <c r="E24" i="19"/>
  <c r="K26" i="19"/>
  <c r="L26" i="19" s="1"/>
  <c r="AZ31" i="17"/>
  <c r="E29" i="19"/>
  <c r="AW37" i="17"/>
  <c r="D35" i="19"/>
  <c r="M25" i="17"/>
  <c r="BB38" i="17"/>
  <c r="H37" i="19"/>
  <c r="I37" i="19" s="1"/>
  <c r="AZ45" i="17"/>
  <c r="E43" i="19"/>
  <c r="O43" i="17"/>
  <c r="H45" i="19"/>
  <c r="I45" i="19" s="1"/>
  <c r="K28" i="19"/>
  <c r="L28" i="19" s="1"/>
  <c r="J41" i="19"/>
  <c r="K42" i="19"/>
  <c r="H27" i="19"/>
  <c r="I27" i="19" s="1"/>
  <c r="AZ17" i="17"/>
  <c r="E15" i="19"/>
  <c r="AW30" i="17"/>
  <c r="D28" i="19"/>
  <c r="H30" i="19"/>
  <c r="I30" i="19" s="1"/>
  <c r="AW36" i="17"/>
  <c r="D34" i="19"/>
  <c r="AZ37" i="17"/>
  <c r="E35" i="19"/>
  <c r="H39" i="19"/>
  <c r="I39" i="19" s="1"/>
  <c r="AW44" i="17"/>
  <c r="D42" i="19"/>
  <c r="W50" i="17"/>
  <c r="W52" i="17"/>
  <c r="H18" i="17"/>
  <c r="H13" i="17" s="1"/>
  <c r="H12" i="17" s="1"/>
  <c r="AX18" i="17"/>
  <c r="I13" i="17"/>
  <c r="I12" i="17" s="1"/>
  <c r="AW14" i="17"/>
  <c r="D12" i="19"/>
  <c r="M12" i="17"/>
  <c r="AZ19" i="17"/>
  <c r="E17" i="19"/>
  <c r="N26" i="17"/>
  <c r="F24" i="19" s="1"/>
  <c r="AZ30" i="17"/>
  <c r="E28" i="19"/>
  <c r="N31" i="17"/>
  <c r="F29" i="19" s="1"/>
  <c r="K30" i="19"/>
  <c r="L30" i="19" s="1"/>
  <c r="AZ36" i="17"/>
  <c r="E34" i="19"/>
  <c r="AZ44" i="17"/>
  <c r="E42" i="19"/>
  <c r="AW49" i="17"/>
  <c r="D47" i="19"/>
  <c r="AW54" i="17"/>
  <c r="D52" i="19"/>
  <c r="K34" i="19"/>
  <c r="L34" i="19" s="1"/>
  <c r="H47" i="19"/>
  <c r="I47" i="19" s="1"/>
  <c r="AW15" i="17"/>
  <c r="D13" i="19"/>
  <c r="E14" i="17"/>
  <c r="AU14" i="17"/>
  <c r="L12" i="17"/>
  <c r="H13" i="19"/>
  <c r="I13" i="19" s="1"/>
  <c r="AW17" i="17"/>
  <c r="D15" i="19"/>
  <c r="E19" i="17"/>
  <c r="AV19" i="17"/>
  <c r="H12" i="19"/>
  <c r="I12" i="19" s="1"/>
  <c r="G23" i="19"/>
  <c r="G18" i="19" s="1"/>
  <c r="H24" i="19"/>
  <c r="I24" i="19" s="1"/>
  <c r="H25" i="19"/>
  <c r="I25" i="19" s="1"/>
  <c r="AW29" i="17"/>
  <c r="D27" i="19"/>
  <c r="H29" i="19"/>
  <c r="I29" i="19" s="1"/>
  <c r="AW35" i="17"/>
  <c r="D33" i="19"/>
  <c r="H36" i="19"/>
  <c r="I36" i="19" s="1"/>
  <c r="E42" i="17"/>
  <c r="AU42" i="17"/>
  <c r="H43" i="19"/>
  <c r="I43" i="19" s="1"/>
  <c r="K44" i="19"/>
  <c r="L44" i="19" s="1"/>
  <c r="AZ49" i="17"/>
  <c r="E47" i="19"/>
  <c r="AZ54" i="17"/>
  <c r="E52" i="19"/>
  <c r="E56" i="17"/>
  <c r="E57" i="17"/>
  <c r="AU57" i="17"/>
  <c r="AW52" i="17"/>
  <c r="D50" i="19"/>
  <c r="J11" i="19"/>
  <c r="J10" i="19" s="1"/>
  <c r="K12" i="19"/>
  <c r="AW16" i="17"/>
  <c r="D14" i="19"/>
  <c r="AZ29" i="17"/>
  <c r="E27" i="19"/>
  <c r="AZ35" i="17"/>
  <c r="E33" i="19"/>
  <c r="H35" i="19"/>
  <c r="I35" i="19" s="1"/>
  <c r="K36" i="19"/>
  <c r="L36" i="19" s="1"/>
  <c r="AW40" i="17"/>
  <c r="D38" i="19"/>
  <c r="AW48" i="17"/>
  <c r="D46" i="19"/>
  <c r="AW53" i="17"/>
  <c r="D51" i="19"/>
  <c r="G11" i="19"/>
  <c r="G10" i="19" s="1"/>
  <c r="K22" i="19"/>
  <c r="R11" i="17"/>
  <c r="R9" i="17" s="1"/>
  <c r="Q13" i="17"/>
  <c r="E30" i="17"/>
  <c r="W35" i="17"/>
  <c r="F38" i="17"/>
  <c r="N44" i="17"/>
  <c r="F42" i="19" s="1"/>
  <c r="W56" i="17"/>
  <c r="W57" i="17"/>
  <c r="AF42" i="17"/>
  <c r="E29" i="17"/>
  <c r="E36" i="17"/>
  <c r="E53" i="17"/>
  <c r="AA11" i="17"/>
  <c r="AA9" i="17" s="1"/>
  <c r="O13" i="17"/>
  <c r="O12" i="17" s="1"/>
  <c r="F18" i="17"/>
  <c r="AU18" i="17" s="1"/>
  <c r="F21" i="19"/>
  <c r="F19" i="19" s="1"/>
  <c r="W33" i="17"/>
  <c r="W44" i="17"/>
  <c r="Q43" i="17"/>
  <c r="E34" i="17"/>
  <c r="N37" i="17"/>
  <c r="F35" i="19" s="1"/>
  <c r="N38" i="17"/>
  <c r="F36" i="19" s="1"/>
  <c r="N15" i="17"/>
  <c r="T22" i="17"/>
  <c r="J20" i="19" s="1"/>
  <c r="K24" i="17"/>
  <c r="AC26" i="17"/>
  <c r="W26" i="17" s="1"/>
  <c r="W31" i="17"/>
  <c r="E44" i="17"/>
  <c r="N47" i="17"/>
  <c r="F45" i="19" s="1"/>
  <c r="S51" i="17"/>
  <c r="S11" i="17" s="1"/>
  <c r="S9" i="17" s="1"/>
  <c r="W30" i="17"/>
  <c r="N28" i="17"/>
  <c r="F26" i="19" s="1"/>
  <c r="W29" i="17"/>
  <c r="E31" i="17"/>
  <c r="W37" i="17"/>
  <c r="N45" i="17"/>
  <c r="F43" i="19" s="1"/>
  <c r="E49" i="17"/>
  <c r="AD20" i="17"/>
  <c r="AF19" i="17"/>
  <c r="AK13" i="17"/>
  <c r="AK12" i="17" s="1"/>
  <c r="X14" i="17"/>
  <c r="X13" i="17" s="1"/>
  <c r="X12" i="17" s="1"/>
  <c r="AD13" i="17"/>
  <c r="AD12" i="17" s="1"/>
  <c r="AC13" i="17"/>
  <c r="AC12" i="17" s="1"/>
  <c r="AM13" i="17"/>
  <c r="AM12" i="17" s="1"/>
  <c r="N16" i="17"/>
  <c r="F14" i="19" s="1"/>
  <c r="E27" i="17"/>
  <c r="N46" i="17"/>
  <c r="F44" i="19" s="1"/>
  <c r="AG51" i="17"/>
  <c r="AH13" i="17"/>
  <c r="AH12" i="17" s="1"/>
  <c r="H25" i="17"/>
  <c r="E32" i="17"/>
  <c r="E52" i="17"/>
  <c r="N14" i="17"/>
  <c r="F12" i="19" s="1"/>
  <c r="AB20" i="17"/>
  <c r="AB11" i="17" s="1"/>
  <c r="AB9" i="17" s="1"/>
  <c r="E35" i="17"/>
  <c r="T41" i="17"/>
  <c r="W45" i="17"/>
  <c r="E48" i="17"/>
  <c r="W53" i="17"/>
  <c r="P13" i="17"/>
  <c r="P12" i="17" s="1"/>
  <c r="Y13" i="17"/>
  <c r="Y12" i="17" s="1"/>
  <c r="X25" i="17"/>
  <c r="X20" i="17" s="1"/>
  <c r="N41" i="17"/>
  <c r="F39" i="19" s="1"/>
  <c r="Y51" i="17"/>
  <c r="AE25" i="17"/>
  <c r="AE20" i="17" s="1"/>
  <c r="AE11" i="17" s="1"/>
  <c r="AE9" i="17" s="1"/>
  <c r="Y26" i="17"/>
  <c r="Y25" i="17" s="1"/>
  <c r="Y20" i="17" s="1"/>
  <c r="N32" i="17"/>
  <c r="F30" i="19" s="1"/>
  <c r="F43" i="17"/>
  <c r="N52" i="17"/>
  <c r="F50" i="19" s="1"/>
  <c r="AI51" i="17"/>
  <c r="P55" i="17"/>
  <c r="N55" i="17" s="1"/>
  <c r="F53" i="19" s="1"/>
  <c r="N48" i="17"/>
  <c r="F46" i="19" s="1"/>
  <c r="Q55" i="17"/>
  <c r="G53" i="19" s="1"/>
  <c r="K13" i="17"/>
  <c r="AK21" i="17"/>
  <c r="AY21" i="17" s="1"/>
  <c r="I20" i="17"/>
  <c r="N35" i="17"/>
  <c r="F33" i="19" s="1"/>
  <c r="E16" i="17"/>
  <c r="AJ21" i="17"/>
  <c r="AX21" i="17" s="1"/>
  <c r="E23" i="17"/>
  <c r="Q25" i="17"/>
  <c r="Q20" i="17" s="1"/>
  <c r="N30" i="17"/>
  <c r="F28" i="19" s="1"/>
  <c r="W34" i="17"/>
  <c r="E40" i="17"/>
  <c r="X43" i="17"/>
  <c r="E17" i="17"/>
  <c r="AK25" i="17"/>
  <c r="AY25" i="17" s="1"/>
  <c r="W32" i="17"/>
  <c r="N36" i="17"/>
  <c r="F34" i="19" s="1"/>
  <c r="AK43" i="17"/>
  <c r="AY43" i="17" s="1"/>
  <c r="K51" i="17"/>
  <c r="G22" i="17"/>
  <c r="P25" i="17"/>
  <c r="Z20" i="17"/>
  <c r="Z11" i="17" s="1"/>
  <c r="Z9" i="17" s="1"/>
  <c r="AH43" i="17"/>
  <c r="H43" i="17"/>
  <c r="E50" i="17"/>
  <c r="E54" i="17"/>
  <c r="P21" i="17"/>
  <c r="P43" i="17"/>
  <c r="G51" i="17"/>
  <c r="O21" i="17"/>
  <c r="AI21" i="17"/>
  <c r="AL43" i="17"/>
  <c r="AN13" i="17"/>
  <c r="AN12" i="17" s="1"/>
  <c r="AM21" i="17"/>
  <c r="AN51" i="17"/>
  <c r="BB51" i="17" s="1"/>
  <c r="U21" i="17"/>
  <c r="K22" i="17"/>
  <c r="K41" i="17"/>
  <c r="AN43" i="17"/>
  <c r="BB43" i="17" s="1"/>
  <c r="O51" i="17"/>
  <c r="AM51" i="17"/>
  <c r="BA51" i="17" s="1"/>
  <c r="G43" i="17"/>
  <c r="AI43" i="17"/>
  <c r="F51" i="17"/>
  <c r="G13" i="17"/>
  <c r="U25" i="17"/>
  <c r="T43" i="17"/>
  <c r="T13" i="17"/>
  <c r="T12" i="17" s="1"/>
  <c r="G24" i="17"/>
  <c r="AV24" i="17" s="1"/>
  <c r="T51" i="17"/>
  <c r="M21" i="17"/>
  <c r="M20" i="17" s="1"/>
  <c r="M11" i="17" s="1"/>
  <c r="M9" i="17" s="1"/>
  <c r="AJ25" i="17"/>
  <c r="AX25" i="17" s="1"/>
  <c r="K43" i="17"/>
  <c r="N29" i="17"/>
  <c r="F27" i="19" s="1"/>
  <c r="O40" i="17"/>
  <c r="N40" i="17" s="1"/>
  <c r="F38" i="19" s="1"/>
  <c r="AJ13" i="17"/>
  <c r="W19" i="17"/>
  <c r="Y43" i="17"/>
  <c r="X51" i="17"/>
  <c r="AJ51" i="17"/>
  <c r="AX51" i="17" s="1"/>
  <c r="L20" i="17" l="1"/>
  <c r="K49" i="19"/>
  <c r="C24" i="19"/>
  <c r="G25" i="17"/>
  <c r="F25" i="17"/>
  <c r="AV43" i="17"/>
  <c r="AU51" i="17"/>
  <c r="G49" i="19"/>
  <c r="H53" i="19"/>
  <c r="H49" i="19" s="1"/>
  <c r="AY12" i="17"/>
  <c r="AC25" i="17"/>
  <c r="AC20" i="17" s="1"/>
  <c r="H20" i="17"/>
  <c r="H11" i="17" s="1"/>
  <c r="H9" i="17" s="1"/>
  <c r="Q51" i="17"/>
  <c r="F13" i="17"/>
  <c r="F12" i="17" s="1"/>
  <c r="T21" i="17"/>
  <c r="I11" i="17"/>
  <c r="I9" i="17" s="1"/>
  <c r="AD11" i="17"/>
  <c r="AD9" i="17" s="1"/>
  <c r="W43" i="17"/>
  <c r="K11" i="19"/>
  <c r="K10" i="19" s="1"/>
  <c r="Y11" i="17"/>
  <c r="Y9" i="17" s="1"/>
  <c r="BA21" i="17"/>
  <c r="E41" i="17"/>
  <c r="AT41" i="17" s="1"/>
  <c r="AY13" i="17"/>
  <c r="I23" i="19"/>
  <c r="I18" i="19" s="1"/>
  <c r="AT34" i="17"/>
  <c r="C32" i="19"/>
  <c r="AT36" i="17"/>
  <c r="C34" i="19"/>
  <c r="I50" i="19"/>
  <c r="AT37" i="17"/>
  <c r="C35" i="19"/>
  <c r="AT16" i="17"/>
  <c r="C14" i="19"/>
  <c r="AT29" i="17"/>
  <c r="C27" i="19"/>
  <c r="I11" i="19"/>
  <c r="I10" i="19" s="1"/>
  <c r="AT42" i="17"/>
  <c r="C40" i="19"/>
  <c r="H23" i="19"/>
  <c r="H18" i="19" s="1"/>
  <c r="BA13" i="17"/>
  <c r="F23" i="19"/>
  <c r="D41" i="19"/>
  <c r="AT55" i="17"/>
  <c r="C53" i="19"/>
  <c r="H41" i="19"/>
  <c r="G12" i="17"/>
  <c r="AV12" i="17" s="1"/>
  <c r="AV13" i="17"/>
  <c r="G9" i="19"/>
  <c r="AT57" i="17"/>
  <c r="C55" i="19"/>
  <c r="L11" i="17"/>
  <c r="L9" i="17" s="1"/>
  <c r="BA12" i="17"/>
  <c r="D23" i="19"/>
  <c r="I42" i="19"/>
  <c r="I41" i="19" s="1"/>
  <c r="L24" i="19"/>
  <c r="C17" i="8"/>
  <c r="AT53" i="17"/>
  <c r="C51" i="19"/>
  <c r="C14" i="8"/>
  <c r="AT17" i="17"/>
  <c r="C15" i="19"/>
  <c r="C19" i="8"/>
  <c r="AT32" i="17"/>
  <c r="C30" i="19"/>
  <c r="AT44" i="17"/>
  <c r="C42" i="19"/>
  <c r="AT56" i="17"/>
  <c r="C54" i="19"/>
  <c r="AT33" i="17"/>
  <c r="C31" i="19"/>
  <c r="K12" i="17"/>
  <c r="AZ43" i="17"/>
  <c r="AT40" i="17"/>
  <c r="C38" i="19"/>
  <c r="AT14" i="17"/>
  <c r="C12" i="19"/>
  <c r="E41" i="19"/>
  <c r="BB13" i="17"/>
  <c r="D49" i="19"/>
  <c r="AT50" i="17"/>
  <c r="C48" i="19"/>
  <c r="AT52" i="17"/>
  <c r="C50" i="19"/>
  <c r="AW43" i="17"/>
  <c r="E18" i="17"/>
  <c r="E13" i="17" s="1"/>
  <c r="E12" i="17" s="1"/>
  <c r="C35" i="4" s="1"/>
  <c r="BB12" i="17"/>
  <c r="D19" i="19"/>
  <c r="AT35" i="17"/>
  <c r="C33" i="19"/>
  <c r="AW18" i="17"/>
  <c r="D16" i="19"/>
  <c r="D11" i="19" s="1"/>
  <c r="D10" i="19" s="1"/>
  <c r="AT49" i="17"/>
  <c r="C47" i="19"/>
  <c r="AZ24" i="17"/>
  <c r="E22" i="19"/>
  <c r="F41" i="19"/>
  <c r="H11" i="19"/>
  <c r="H10" i="19" s="1"/>
  <c r="K41" i="19"/>
  <c r="AW51" i="17"/>
  <c r="AW21" i="17"/>
  <c r="E22" i="17"/>
  <c r="AV22" i="17"/>
  <c r="E43" i="17"/>
  <c r="AT48" i="17"/>
  <c r="C46" i="19"/>
  <c r="E38" i="17"/>
  <c r="E25" i="17" s="1"/>
  <c r="AU38" i="17"/>
  <c r="L42" i="19"/>
  <c r="L41" i="19" s="1"/>
  <c r="L50" i="19"/>
  <c r="L49" i="19" s="1"/>
  <c r="AZ38" i="17"/>
  <c r="E36" i="19"/>
  <c r="AT46" i="17"/>
  <c r="C44" i="19"/>
  <c r="AT28" i="17"/>
  <c r="C26" i="19"/>
  <c r="AT54" i="17"/>
  <c r="C52" i="19"/>
  <c r="AT23" i="17"/>
  <c r="C21" i="19"/>
  <c r="F49" i="19"/>
  <c r="AT27" i="17"/>
  <c r="C25" i="19"/>
  <c r="N13" i="17"/>
  <c r="N12" i="17" s="1"/>
  <c r="D35" i="4" s="1"/>
  <c r="F13" i="19"/>
  <c r="F11" i="19" s="1"/>
  <c r="F10" i="19" s="1"/>
  <c r="AP13" i="17"/>
  <c r="C28" i="8"/>
  <c r="AT19" i="17"/>
  <c r="C17" i="19"/>
  <c r="E11" i="19"/>
  <c r="E10" i="19" s="1"/>
  <c r="AT47" i="17"/>
  <c r="C45" i="19"/>
  <c r="F21" i="17"/>
  <c r="F20" i="17" s="1"/>
  <c r="AZ41" i="17"/>
  <c r="E39" i="19"/>
  <c r="AZ22" i="17"/>
  <c r="E20" i="19"/>
  <c r="T25" i="17"/>
  <c r="J39" i="19"/>
  <c r="AT31" i="17"/>
  <c r="C29" i="19"/>
  <c r="J11" i="17"/>
  <c r="J9" i="17" s="1"/>
  <c r="AT30" i="17"/>
  <c r="C28" i="19"/>
  <c r="L12" i="19"/>
  <c r="L11" i="19" s="1"/>
  <c r="L10" i="19" s="1"/>
  <c r="E49" i="19"/>
  <c r="AT45" i="17"/>
  <c r="C43" i="19"/>
  <c r="AT39" i="17"/>
  <c r="C37" i="19"/>
  <c r="AT15" i="17"/>
  <c r="C13" i="19"/>
  <c r="AJ12" i="17"/>
  <c r="AX12" i="17" s="1"/>
  <c r="AX13" i="17"/>
  <c r="K20" i="19"/>
  <c r="L20" i="19" s="1"/>
  <c r="J19" i="19"/>
  <c r="L22" i="19"/>
  <c r="F18" i="19"/>
  <c r="Q12" i="17"/>
  <c r="N43" i="17"/>
  <c r="D32" i="4" s="1"/>
  <c r="AI13" i="17"/>
  <c r="N21" i="17"/>
  <c r="W14" i="17"/>
  <c r="W13" i="17" s="1"/>
  <c r="W12" i="17" s="1"/>
  <c r="P51" i="17"/>
  <c r="N51" i="17"/>
  <c r="D42" i="4" s="1"/>
  <c r="W51" i="17"/>
  <c r="AK20" i="17"/>
  <c r="AC11" i="17"/>
  <c r="AC9" i="17" s="1"/>
  <c r="AL25" i="17"/>
  <c r="AL13" i="17"/>
  <c r="AL12" i="17" s="1"/>
  <c r="AM25" i="17"/>
  <c r="BA25" i="17" s="1"/>
  <c r="N25" i="17"/>
  <c r="P20" i="17"/>
  <c r="AL51" i="17"/>
  <c r="AZ51" i="17" s="1"/>
  <c r="AH21" i="17"/>
  <c r="AV21" i="17" s="1"/>
  <c r="W25" i="17"/>
  <c r="W20" i="17" s="1"/>
  <c r="AF43" i="17"/>
  <c r="E32" i="4" s="1"/>
  <c r="AI25" i="17"/>
  <c r="AI20" i="17" s="1"/>
  <c r="AN21" i="17"/>
  <c r="BB21" i="17" s="1"/>
  <c r="E51" i="17"/>
  <c r="X11" i="17"/>
  <c r="X9" i="17" s="1"/>
  <c r="AJ20" i="17"/>
  <c r="G21" i="17"/>
  <c r="G20" i="17" s="1"/>
  <c r="AF25" i="17"/>
  <c r="AG25" i="17"/>
  <c r="AU25" i="17" s="1"/>
  <c r="AG21" i="17"/>
  <c r="O25" i="17"/>
  <c r="O20" i="17" s="1"/>
  <c r="O11" i="17" s="1"/>
  <c r="O9" i="17" s="1"/>
  <c r="AN25" i="17"/>
  <c r="BB25" i="17" s="1"/>
  <c r="U20" i="17"/>
  <c r="U11" i="17" s="1"/>
  <c r="U9" i="17" s="1"/>
  <c r="AH51" i="17"/>
  <c r="AV51" i="17" s="1"/>
  <c r="AH25" i="17"/>
  <c r="AV25" i="17" s="1"/>
  <c r="AF51" i="17"/>
  <c r="E42" i="4" s="1"/>
  <c r="E41" i="4" s="1"/>
  <c r="AG13" i="17"/>
  <c r="AF13" i="17"/>
  <c r="AL21" i="17"/>
  <c r="K21" i="17"/>
  <c r="E24" i="17"/>
  <c r="K25" i="17"/>
  <c r="AG43" i="17"/>
  <c r="AU43" i="17" s="1"/>
  <c r="G11" i="17" l="1"/>
  <c r="G9" i="17" s="1"/>
  <c r="Q11" i="17"/>
  <c r="Q9" i="17" s="1"/>
  <c r="AW20" i="17"/>
  <c r="C39" i="19"/>
  <c r="F11" i="17"/>
  <c r="F9" i="17" s="1"/>
  <c r="AU21" i="17"/>
  <c r="T20" i="17"/>
  <c r="T11" i="17" s="1"/>
  <c r="T9" i="17" s="1"/>
  <c r="AZ25" i="17"/>
  <c r="E19" i="19"/>
  <c r="P11" i="17"/>
  <c r="P9" i="17" s="1"/>
  <c r="E23" i="19"/>
  <c r="E18" i="19" s="1"/>
  <c r="E9" i="19" s="1"/>
  <c r="C41" i="19"/>
  <c r="M41" i="19" s="1"/>
  <c r="C49" i="19"/>
  <c r="M49" i="19" s="1"/>
  <c r="I49" i="19"/>
  <c r="I9" i="19" s="1"/>
  <c r="E21" i="17"/>
  <c r="AT24" i="17"/>
  <c r="C22" i="19"/>
  <c r="AT22" i="17"/>
  <c r="C20" i="19"/>
  <c r="AZ21" i="17"/>
  <c r="D30" i="2" s="1"/>
  <c r="W11" i="17"/>
  <c r="W9" i="17" s="1"/>
  <c r="AZ13" i="17"/>
  <c r="AT25" i="17"/>
  <c r="AZ12" i="17"/>
  <c r="H9" i="19"/>
  <c r="E40" i="4"/>
  <c r="AM20" i="17"/>
  <c r="N20" i="17"/>
  <c r="D38" i="4" s="1"/>
  <c r="K39" i="19"/>
  <c r="J23" i="19"/>
  <c r="J18" i="19" s="1"/>
  <c r="J9" i="19" s="1"/>
  <c r="D18" i="19"/>
  <c r="D9" i="19" s="1"/>
  <c r="C32" i="4"/>
  <c r="AT43" i="17"/>
  <c r="C42" i="7"/>
  <c r="C41" i="7" s="1"/>
  <c r="C42" i="4"/>
  <c r="C41" i="4" s="1"/>
  <c r="C40" i="4" s="1"/>
  <c r="AT51" i="17"/>
  <c r="AT38" i="17"/>
  <c r="C36" i="19"/>
  <c r="C23" i="19" s="1"/>
  <c r="M23" i="19" s="1"/>
  <c r="AT18" i="17"/>
  <c r="C16" i="19"/>
  <c r="C11" i="19" s="1"/>
  <c r="C10" i="19" s="1"/>
  <c r="C35" i="7"/>
  <c r="AW25" i="17"/>
  <c r="AI12" i="17"/>
  <c r="AW12" i="17" s="1"/>
  <c r="AW13" i="17"/>
  <c r="AF12" i="17"/>
  <c r="AT13" i="17"/>
  <c r="AG12" i="17"/>
  <c r="AU12" i="17" s="1"/>
  <c r="AU13" i="17"/>
  <c r="L19" i="19"/>
  <c r="K19" i="19"/>
  <c r="F9" i="19"/>
  <c r="AK11" i="17"/>
  <c r="AY20" i="17"/>
  <c r="AM11" i="17"/>
  <c r="BA20" i="17"/>
  <c r="AJ11" i="17"/>
  <c r="AX20" i="17"/>
  <c r="AG20" i="17"/>
  <c r="AU20" i="17" s="1"/>
  <c r="AH20" i="17"/>
  <c r="AN20" i="17"/>
  <c r="K20" i="17"/>
  <c r="K11" i="17" s="1"/>
  <c r="K9" i="17" s="1"/>
  <c r="AL20" i="17"/>
  <c r="AF21" i="17"/>
  <c r="D25" i="8" s="1"/>
  <c r="G41" i="4" l="1"/>
  <c r="N11" i="17"/>
  <c r="N9" i="17" s="1"/>
  <c r="C40" i="7"/>
  <c r="G41" i="7"/>
  <c r="F41" i="7"/>
  <c r="F41" i="4"/>
  <c r="F40" i="4" s="1"/>
  <c r="M10" i="19"/>
  <c r="C32" i="7"/>
  <c r="G10" i="20"/>
  <c r="L39" i="19"/>
  <c r="L23" i="19" s="1"/>
  <c r="L18" i="19" s="1"/>
  <c r="L9" i="19" s="1"/>
  <c r="G11" i="20" s="1"/>
  <c r="K23" i="19"/>
  <c r="K18" i="19" s="1"/>
  <c r="K9" i="19" s="1"/>
  <c r="F32" i="4"/>
  <c r="E20" i="17"/>
  <c r="C25" i="8"/>
  <c r="AI11" i="17"/>
  <c r="AF10" i="16" s="1"/>
  <c r="C19" i="19"/>
  <c r="G40" i="4"/>
  <c r="D29" i="2"/>
  <c r="AO12" i="17"/>
  <c r="E35" i="4"/>
  <c r="AT12" i="17"/>
  <c r="AG11" i="17"/>
  <c r="AG9" i="17" s="1"/>
  <c r="AI9" i="17"/>
  <c r="AJ9" i="17"/>
  <c r="AX11" i="17"/>
  <c r="AM9" i="17"/>
  <c r="BA11" i="17"/>
  <c r="AN11" i="17"/>
  <c r="BB20" i="17"/>
  <c r="AH11" i="17"/>
  <c r="AV20" i="17"/>
  <c r="AF20" i="17"/>
  <c r="E38" i="4" s="1"/>
  <c r="AT21" i="17"/>
  <c r="AL11" i="17"/>
  <c r="AZ20" i="17"/>
  <c r="AK9" i="17"/>
  <c r="AY11" i="17"/>
  <c r="Z59" i="16"/>
  <c r="X59" i="16"/>
  <c r="E60" i="16"/>
  <c r="E59" i="16" s="1"/>
  <c r="D60" i="16"/>
  <c r="D59" i="16" s="1"/>
  <c r="AC59" i="16"/>
  <c r="AB59" i="16"/>
  <c r="AA59" i="16"/>
  <c r="Y59" i="16"/>
  <c r="V59" i="16"/>
  <c r="T59" i="16"/>
  <c r="S59" i="16"/>
  <c r="R59" i="16"/>
  <c r="Q59" i="16"/>
  <c r="P59" i="16"/>
  <c r="O59" i="16"/>
  <c r="N59" i="16"/>
  <c r="M59" i="16"/>
  <c r="L59" i="16"/>
  <c r="K59" i="16"/>
  <c r="J59" i="16"/>
  <c r="I59" i="16"/>
  <c r="H59" i="16"/>
  <c r="G59" i="16"/>
  <c r="F59" i="16"/>
  <c r="E58" i="16"/>
  <c r="W57" i="16" s="1"/>
  <c r="W56" i="16" s="1"/>
  <c r="D58" i="16"/>
  <c r="AB57" i="16"/>
  <c r="AB56" i="16" s="1"/>
  <c r="AA57" i="16"/>
  <c r="AA56" i="16" s="1"/>
  <c r="Z57" i="16"/>
  <c r="Z56" i="16" s="1"/>
  <c r="Y57" i="16"/>
  <c r="Y56" i="16" s="1"/>
  <c r="X57" i="16"/>
  <c r="X56" i="16" s="1"/>
  <c r="V57" i="16"/>
  <c r="V56" i="16" s="1"/>
  <c r="T57" i="16"/>
  <c r="S57" i="16"/>
  <c r="S56" i="16" s="1"/>
  <c r="R57" i="16"/>
  <c r="R56" i="16" s="1"/>
  <c r="Q57" i="16"/>
  <c r="Q56" i="16" s="1"/>
  <c r="P57" i="16"/>
  <c r="P56" i="16" s="1"/>
  <c r="O57" i="16"/>
  <c r="O56" i="16" s="1"/>
  <c r="N57" i="16"/>
  <c r="N56" i="16" s="1"/>
  <c r="M57" i="16"/>
  <c r="M56" i="16" s="1"/>
  <c r="L57" i="16"/>
  <c r="L56" i="16" s="1"/>
  <c r="K57" i="16"/>
  <c r="K56" i="16" s="1"/>
  <c r="J57" i="16"/>
  <c r="J56" i="16" s="1"/>
  <c r="I57" i="16"/>
  <c r="I56" i="16" s="1"/>
  <c r="H57" i="16"/>
  <c r="H56" i="16" s="1"/>
  <c r="G57" i="16"/>
  <c r="G56" i="16" s="1"/>
  <c r="F57" i="16"/>
  <c r="F56" i="16" s="1"/>
  <c r="Z54" i="16"/>
  <c r="Y54" i="16"/>
  <c r="X54" i="16"/>
  <c r="E55" i="16"/>
  <c r="D55" i="16"/>
  <c r="D54" i="16" s="1"/>
  <c r="AC54" i="16"/>
  <c r="AB54" i="16"/>
  <c r="AA54" i="16"/>
  <c r="T54" i="16"/>
  <c r="S54" i="16"/>
  <c r="R54" i="16"/>
  <c r="Q54" i="16"/>
  <c r="P54" i="16"/>
  <c r="O54" i="16"/>
  <c r="N54" i="16"/>
  <c r="M54" i="16"/>
  <c r="L54" i="16"/>
  <c r="K54" i="16"/>
  <c r="J54" i="16"/>
  <c r="I54" i="16"/>
  <c r="H54" i="16"/>
  <c r="G54" i="16"/>
  <c r="F54" i="16"/>
  <c r="AC52" i="16"/>
  <c r="AB52" i="16"/>
  <c r="AA52" i="16"/>
  <c r="Z52" i="16"/>
  <c r="O53" i="16"/>
  <c r="X52" i="16" s="1"/>
  <c r="N53" i="16"/>
  <c r="N52" i="16" s="1"/>
  <c r="M53" i="16"/>
  <c r="E53" i="16"/>
  <c r="W52" i="16" s="1"/>
  <c r="D53" i="16"/>
  <c r="D52" i="16" s="1"/>
  <c r="T52" i="16"/>
  <c r="S52" i="16"/>
  <c r="R52" i="16"/>
  <c r="Q52" i="16"/>
  <c r="P52" i="16"/>
  <c r="K52" i="16"/>
  <c r="J52" i="16"/>
  <c r="I52" i="16"/>
  <c r="H52" i="16"/>
  <c r="G52" i="16"/>
  <c r="F52" i="16"/>
  <c r="E52" i="16"/>
  <c r="W49" i="16"/>
  <c r="W48" i="16" s="1"/>
  <c r="AA49" i="16"/>
  <c r="AA48" i="16" s="1"/>
  <c r="E50" i="16"/>
  <c r="E49" i="16" s="1"/>
  <c r="E48" i="16" s="1"/>
  <c r="D50" i="16"/>
  <c r="D49" i="16" s="1"/>
  <c r="D48" i="16" s="1"/>
  <c r="Z49" i="16"/>
  <c r="Z48" i="16" s="1"/>
  <c r="Y49" i="16"/>
  <c r="Y48" i="16" s="1"/>
  <c r="X49" i="16"/>
  <c r="X48" i="16" s="1"/>
  <c r="T49" i="16"/>
  <c r="S49" i="16"/>
  <c r="S48" i="16" s="1"/>
  <c r="R49" i="16"/>
  <c r="R48" i="16" s="1"/>
  <c r="Q49" i="16"/>
  <c r="Q48" i="16" s="1"/>
  <c r="P49" i="16"/>
  <c r="P48" i="16" s="1"/>
  <c r="O49" i="16"/>
  <c r="O48" i="16" s="1"/>
  <c r="N49" i="16"/>
  <c r="N48" i="16" s="1"/>
  <c r="M49" i="16"/>
  <c r="M48" i="16" s="1"/>
  <c r="L49" i="16"/>
  <c r="L48" i="16" s="1"/>
  <c r="K49" i="16"/>
  <c r="K48" i="16" s="1"/>
  <c r="J49" i="16"/>
  <c r="J48" i="16" s="1"/>
  <c r="I49" i="16"/>
  <c r="I48" i="16" s="1"/>
  <c r="H49" i="16"/>
  <c r="H48" i="16" s="1"/>
  <c r="G49" i="16"/>
  <c r="G48" i="16" s="1"/>
  <c r="F49" i="16"/>
  <c r="F48" i="16" s="1"/>
  <c r="T48" i="16"/>
  <c r="AA46" i="16"/>
  <c r="Z46" i="16"/>
  <c r="E47" i="16"/>
  <c r="E46" i="16" s="1"/>
  <c r="D47" i="16"/>
  <c r="D46" i="16" s="1"/>
  <c r="Y46" i="16"/>
  <c r="X46" i="16"/>
  <c r="T46" i="16"/>
  <c r="S46" i="16"/>
  <c r="R46" i="16"/>
  <c r="Q46" i="16"/>
  <c r="P46" i="16"/>
  <c r="O46" i="16"/>
  <c r="N46" i="16"/>
  <c r="M46" i="16"/>
  <c r="L46" i="16"/>
  <c r="K46" i="16"/>
  <c r="J46" i="16"/>
  <c r="I46" i="16"/>
  <c r="H46" i="16"/>
  <c r="G46" i="16"/>
  <c r="F46" i="16"/>
  <c r="AC44" i="16"/>
  <c r="AC43" i="16" s="1"/>
  <c r="Y44" i="16"/>
  <c r="Y43" i="16" s="1"/>
  <c r="E45" i="16"/>
  <c r="E44" i="16" s="1"/>
  <c r="E43" i="16" s="1"/>
  <c r="D45" i="16"/>
  <c r="D44" i="16" s="1"/>
  <c r="D43" i="16" s="1"/>
  <c r="AB44" i="16"/>
  <c r="AB43" i="16" s="1"/>
  <c r="AA44" i="16"/>
  <c r="AA43" i="16" s="1"/>
  <c r="X44" i="16"/>
  <c r="X43" i="16" s="1"/>
  <c r="T44" i="16"/>
  <c r="T43" i="16" s="1"/>
  <c r="S44" i="16"/>
  <c r="S43" i="16" s="1"/>
  <c r="R44" i="16"/>
  <c r="R43" i="16" s="1"/>
  <c r="Q44" i="16"/>
  <c r="Q43" i="16" s="1"/>
  <c r="P44" i="16"/>
  <c r="P43" i="16" s="1"/>
  <c r="O44" i="16"/>
  <c r="O43" i="16" s="1"/>
  <c r="N44" i="16"/>
  <c r="N43" i="16" s="1"/>
  <c r="L44" i="16"/>
  <c r="L43" i="16" s="1"/>
  <c r="K44" i="16"/>
  <c r="K43" i="16" s="1"/>
  <c r="J44" i="16"/>
  <c r="J43" i="16" s="1"/>
  <c r="I44" i="16"/>
  <c r="I43" i="16" s="1"/>
  <c r="H44" i="16"/>
  <c r="H43" i="16" s="1"/>
  <c r="G44" i="16"/>
  <c r="G43" i="16" s="1"/>
  <c r="F44" i="16"/>
  <c r="F43" i="16" s="1"/>
  <c r="M43" i="16"/>
  <c r="AC41" i="16"/>
  <c r="AC40" i="16" s="1"/>
  <c r="AB41" i="16"/>
  <c r="AB40" i="16" s="1"/>
  <c r="AA41" i="16"/>
  <c r="AA40" i="16" s="1"/>
  <c r="Z41" i="16"/>
  <c r="Z40" i="16" s="1"/>
  <c r="X41" i="16"/>
  <c r="X40" i="16" s="1"/>
  <c r="O42" i="16"/>
  <c r="O41" i="16" s="1"/>
  <c r="O40" i="16" s="1"/>
  <c r="N42" i="16"/>
  <c r="N41" i="16" s="1"/>
  <c r="N40" i="16" s="1"/>
  <c r="M42" i="16"/>
  <c r="M41" i="16" s="1"/>
  <c r="M40" i="16" s="1"/>
  <c r="E42" i="16"/>
  <c r="D42" i="16"/>
  <c r="D41" i="16" s="1"/>
  <c r="D40" i="16" s="1"/>
  <c r="Y41" i="16"/>
  <c r="T41" i="16"/>
  <c r="T40" i="16" s="1"/>
  <c r="S41" i="16"/>
  <c r="S40" i="16" s="1"/>
  <c r="R41" i="16"/>
  <c r="R40" i="16" s="1"/>
  <c r="Q41" i="16"/>
  <c r="Q40" i="16" s="1"/>
  <c r="P41" i="16"/>
  <c r="P40" i="16" s="1"/>
  <c r="K41" i="16"/>
  <c r="K40" i="16" s="1"/>
  <c r="J41" i="16"/>
  <c r="J40" i="16" s="1"/>
  <c r="I41" i="16"/>
  <c r="I40" i="16" s="1"/>
  <c r="H41" i="16"/>
  <c r="H40" i="16" s="1"/>
  <c r="G41" i="16"/>
  <c r="G40" i="16" s="1"/>
  <c r="F41" i="16"/>
  <c r="F40" i="16" s="1"/>
  <c r="Y40" i="16"/>
  <c r="AB38" i="16"/>
  <c r="Z38" i="16"/>
  <c r="Y38" i="16"/>
  <c r="X38" i="16"/>
  <c r="J39" i="16"/>
  <c r="I39" i="16" s="1"/>
  <c r="E39" i="16"/>
  <c r="E38" i="16" s="1"/>
  <c r="AC38" i="16"/>
  <c r="S38" i="16"/>
  <c r="R38" i="16"/>
  <c r="Q38" i="16"/>
  <c r="Q35" i="16" s="1"/>
  <c r="P38" i="16"/>
  <c r="P35" i="16" s="1"/>
  <c r="O38" i="16"/>
  <c r="O35" i="16" s="1"/>
  <c r="K38" i="16"/>
  <c r="H38" i="16"/>
  <c r="G38" i="16"/>
  <c r="F38" i="16"/>
  <c r="AC36" i="16"/>
  <c r="W36" i="16"/>
  <c r="Y36" i="16"/>
  <c r="J37" i="16"/>
  <c r="I37" i="16" s="1"/>
  <c r="E37" i="16"/>
  <c r="E36" i="16" s="1"/>
  <c r="X36" i="16"/>
  <c r="T36" i="16"/>
  <c r="S36" i="16"/>
  <c r="R36" i="16"/>
  <c r="N36" i="16"/>
  <c r="M36" i="16"/>
  <c r="M35" i="16" s="1"/>
  <c r="L36" i="16"/>
  <c r="K36" i="16"/>
  <c r="K35" i="16" s="1"/>
  <c r="H36" i="16"/>
  <c r="G36" i="16"/>
  <c r="F36" i="16"/>
  <c r="AC32" i="16"/>
  <c r="Y32" i="16"/>
  <c r="W32" i="16"/>
  <c r="S33" i="16"/>
  <c r="S32" i="16" s="1"/>
  <c r="N33" i="16"/>
  <c r="N32" i="16" s="1"/>
  <c r="J33" i="16"/>
  <c r="AB32" i="16" s="1"/>
  <c r="E33" i="16"/>
  <c r="E32" i="16" s="1"/>
  <c r="Z32" i="16"/>
  <c r="X32" i="16"/>
  <c r="T32" i="16"/>
  <c r="Q32" i="16"/>
  <c r="P32" i="16"/>
  <c r="O32" i="16"/>
  <c r="K32" i="16"/>
  <c r="H32" i="16"/>
  <c r="G32" i="16"/>
  <c r="F32" i="16"/>
  <c r="AC30" i="16"/>
  <c r="AA30" i="16"/>
  <c r="E31" i="16"/>
  <c r="W30" i="16" s="1"/>
  <c r="D31" i="16"/>
  <c r="D30" i="16" s="1"/>
  <c r="AB30" i="16"/>
  <c r="Z30" i="16"/>
  <c r="Y30" i="16"/>
  <c r="X30" i="16"/>
  <c r="T30" i="16"/>
  <c r="S30" i="16"/>
  <c r="R30" i="16"/>
  <c r="Q30" i="16"/>
  <c r="P30" i="16"/>
  <c r="O30" i="16"/>
  <c r="N30" i="16"/>
  <c r="M30" i="16"/>
  <c r="L30" i="16"/>
  <c r="K30" i="16"/>
  <c r="J30" i="16"/>
  <c r="I30" i="16"/>
  <c r="H30" i="16"/>
  <c r="H29" i="16" s="1"/>
  <c r="G30" i="16"/>
  <c r="G29" i="16" s="1"/>
  <c r="F30" i="16"/>
  <c r="AB27" i="16"/>
  <c r="AB26" i="16" s="1"/>
  <c r="AA27" i="16"/>
  <c r="AA26" i="16" s="1"/>
  <c r="E28" i="16"/>
  <c r="E27" i="16" s="1"/>
  <c r="E26" i="16" s="1"/>
  <c r="D28" i="16"/>
  <c r="D27" i="16" s="1"/>
  <c r="D26" i="16" s="1"/>
  <c r="AC27" i="16"/>
  <c r="AC26" i="16" s="1"/>
  <c r="Z27" i="16"/>
  <c r="Z26" i="16" s="1"/>
  <c r="Y27" i="16"/>
  <c r="Y26" i="16" s="1"/>
  <c r="X27" i="16"/>
  <c r="X26" i="16" s="1"/>
  <c r="V27" i="16"/>
  <c r="V26" i="16" s="1"/>
  <c r="T27" i="16"/>
  <c r="T26" i="16" s="1"/>
  <c r="S27" i="16"/>
  <c r="S26" i="16" s="1"/>
  <c r="R27" i="16"/>
  <c r="R26" i="16" s="1"/>
  <c r="Q27" i="16"/>
  <c r="Q26" i="16" s="1"/>
  <c r="P27" i="16"/>
  <c r="P26" i="16" s="1"/>
  <c r="O27" i="16"/>
  <c r="O26" i="16" s="1"/>
  <c r="N27" i="16"/>
  <c r="N26" i="16" s="1"/>
  <c r="M27" i="16"/>
  <c r="M26" i="16" s="1"/>
  <c r="L27" i="16"/>
  <c r="L26" i="16" s="1"/>
  <c r="K27" i="16"/>
  <c r="K26" i="16" s="1"/>
  <c r="J27" i="16"/>
  <c r="J26" i="16" s="1"/>
  <c r="I27" i="16"/>
  <c r="I26" i="16" s="1"/>
  <c r="H27" i="16"/>
  <c r="H26" i="16" s="1"/>
  <c r="G27" i="16"/>
  <c r="G26" i="16" s="1"/>
  <c r="F27" i="16"/>
  <c r="F26" i="16" s="1"/>
  <c r="Z24" i="16"/>
  <c r="X24" i="16"/>
  <c r="R25" i="16"/>
  <c r="R24" i="16" s="1"/>
  <c r="O25" i="16"/>
  <c r="O24" i="16" s="1"/>
  <c r="N25" i="16"/>
  <c r="N24" i="16" s="1"/>
  <c r="K25" i="16"/>
  <c r="AC24" i="16" s="1"/>
  <c r="J25" i="16"/>
  <c r="AB24" i="16" s="1"/>
  <c r="T24" i="16"/>
  <c r="S24" i="16"/>
  <c r="Q24" i="16"/>
  <c r="P24" i="16"/>
  <c r="H24" i="16"/>
  <c r="G24" i="16"/>
  <c r="F24" i="16"/>
  <c r="AC22" i="16"/>
  <c r="Z22" i="16"/>
  <c r="Y22" i="16"/>
  <c r="X22" i="16"/>
  <c r="I23" i="16"/>
  <c r="AA22" i="16" s="1"/>
  <c r="E23" i="16"/>
  <c r="W22" i="16" s="1"/>
  <c r="D23" i="16"/>
  <c r="T22" i="16"/>
  <c r="S22" i="16"/>
  <c r="R22" i="16"/>
  <c r="Q22" i="16"/>
  <c r="P22" i="16"/>
  <c r="O22" i="16"/>
  <c r="N22" i="16"/>
  <c r="M22" i="16"/>
  <c r="L22" i="16"/>
  <c r="K22" i="16"/>
  <c r="K19" i="16" s="1"/>
  <c r="J22" i="16"/>
  <c r="H22" i="16"/>
  <c r="G22" i="16"/>
  <c r="F22" i="16"/>
  <c r="Z20" i="16"/>
  <c r="X20" i="16"/>
  <c r="J21" i="16"/>
  <c r="I21" i="16" s="1"/>
  <c r="E21" i="16"/>
  <c r="W20" i="16" s="1"/>
  <c r="AC20" i="16"/>
  <c r="Y20" i="16"/>
  <c r="T20" i="16"/>
  <c r="S20" i="16"/>
  <c r="S19" i="16" s="1"/>
  <c r="R20" i="16"/>
  <c r="Q20" i="16"/>
  <c r="P20" i="16"/>
  <c r="O20" i="16"/>
  <c r="N20" i="16"/>
  <c r="M20" i="16"/>
  <c r="L20" i="16"/>
  <c r="K20" i="16"/>
  <c r="H20" i="16"/>
  <c r="G20" i="16"/>
  <c r="F20" i="16"/>
  <c r="AA17" i="16"/>
  <c r="AA16" i="16" s="1"/>
  <c r="Z17" i="16"/>
  <c r="Z16" i="16" s="1"/>
  <c r="Y17" i="16"/>
  <c r="Y16" i="16" s="1"/>
  <c r="X17" i="16"/>
  <c r="X16" i="16" s="1"/>
  <c r="F18" i="16"/>
  <c r="F17" i="16" s="1"/>
  <c r="F16" i="16" s="1"/>
  <c r="E18" i="16"/>
  <c r="W17" i="16" s="1"/>
  <c r="W16" i="16" s="1"/>
  <c r="D18" i="16"/>
  <c r="AC17" i="16"/>
  <c r="AC16" i="16" s="1"/>
  <c r="T17" i="16"/>
  <c r="T16" i="16" s="1"/>
  <c r="S17" i="16"/>
  <c r="S16" i="16" s="1"/>
  <c r="R17" i="16"/>
  <c r="R16" i="16" s="1"/>
  <c r="Q17" i="16"/>
  <c r="Q16" i="16" s="1"/>
  <c r="P17" i="16"/>
  <c r="P16" i="16" s="1"/>
  <c r="O17" i="16"/>
  <c r="O16" i="16" s="1"/>
  <c r="N17" i="16"/>
  <c r="N16" i="16" s="1"/>
  <c r="M17" i="16"/>
  <c r="M16" i="16" s="1"/>
  <c r="L17" i="16"/>
  <c r="L16" i="16" s="1"/>
  <c r="K17" i="16"/>
  <c r="K16" i="16" s="1"/>
  <c r="J17" i="16"/>
  <c r="J16" i="16" s="1"/>
  <c r="I17" i="16"/>
  <c r="I16" i="16" s="1"/>
  <c r="H17" i="16"/>
  <c r="H16" i="16" s="1"/>
  <c r="G17" i="16"/>
  <c r="G16" i="16" s="1"/>
  <c r="E17" i="16"/>
  <c r="E16" i="16" s="1"/>
  <c r="D17" i="16"/>
  <c r="D16" i="16" s="1"/>
  <c r="AB14" i="16"/>
  <c r="AA14" i="16"/>
  <c r="W14" i="16"/>
  <c r="X14" i="16"/>
  <c r="N15" i="16"/>
  <c r="N14" i="16" s="1"/>
  <c r="M15" i="16"/>
  <c r="E15" i="16"/>
  <c r="E14" i="16" s="1"/>
  <c r="D15" i="16"/>
  <c r="AC14" i="16"/>
  <c r="Y14" i="16"/>
  <c r="T14" i="16"/>
  <c r="S14" i="16"/>
  <c r="R14" i="16"/>
  <c r="Q14" i="16"/>
  <c r="P14" i="16"/>
  <c r="O14" i="16"/>
  <c r="K14" i="16"/>
  <c r="J14" i="16"/>
  <c r="I14" i="16"/>
  <c r="H14" i="16"/>
  <c r="G14" i="16"/>
  <c r="F14" i="16"/>
  <c r="AA12" i="16"/>
  <c r="AA11" i="16" s="1"/>
  <c r="Z12" i="16"/>
  <c r="Z11" i="16" s="1"/>
  <c r="X12" i="16"/>
  <c r="X11" i="16" s="1"/>
  <c r="V12" i="16"/>
  <c r="V11" i="16" s="1"/>
  <c r="E13" i="16"/>
  <c r="D13" i="16"/>
  <c r="D12" i="16" s="1"/>
  <c r="D11" i="16" s="1"/>
  <c r="AC12" i="16"/>
  <c r="AC11" i="16" s="1"/>
  <c r="AB12" i="16"/>
  <c r="AB11" i="16" s="1"/>
  <c r="Y12" i="16"/>
  <c r="Y11" i="16" s="1"/>
  <c r="T12" i="16"/>
  <c r="T11" i="16" s="1"/>
  <c r="S12" i="16"/>
  <c r="S11" i="16" s="1"/>
  <c r="R12" i="16"/>
  <c r="R11" i="16" s="1"/>
  <c r="Q12" i="16"/>
  <c r="Q11" i="16" s="1"/>
  <c r="P12" i="16"/>
  <c r="P11" i="16" s="1"/>
  <c r="O12" i="16"/>
  <c r="O11" i="16" s="1"/>
  <c r="N12" i="16"/>
  <c r="N11" i="16" s="1"/>
  <c r="M12" i="16"/>
  <c r="M11" i="16" s="1"/>
  <c r="L12" i="16"/>
  <c r="L11" i="16" s="1"/>
  <c r="K12" i="16"/>
  <c r="K11" i="16" s="1"/>
  <c r="J12" i="16"/>
  <c r="J11" i="16" s="1"/>
  <c r="I12" i="16"/>
  <c r="I11" i="16" s="1"/>
  <c r="H12" i="16"/>
  <c r="H11" i="16" s="1"/>
  <c r="G12" i="16"/>
  <c r="G11" i="16" s="1"/>
  <c r="F12" i="16"/>
  <c r="F11" i="16" s="1"/>
  <c r="L15" i="16" l="1"/>
  <c r="L14" i="16" s="1"/>
  <c r="K29" i="16"/>
  <c r="O29" i="16"/>
  <c r="R33" i="16"/>
  <c r="R32" i="16" s="1"/>
  <c r="J24" i="16"/>
  <c r="P19" i="16"/>
  <c r="P29" i="16"/>
  <c r="M33" i="16"/>
  <c r="M32" i="16" s="1"/>
  <c r="F29" i="16"/>
  <c r="J36" i="16"/>
  <c r="J35" i="16" s="1"/>
  <c r="J34" i="16" s="1"/>
  <c r="AW11" i="17"/>
  <c r="C31" i="16"/>
  <c r="C30" i="16" s="1"/>
  <c r="C15" i="16"/>
  <c r="C14" i="16" s="1"/>
  <c r="I22" i="16"/>
  <c r="C23" i="16"/>
  <c r="C22" i="16" s="1"/>
  <c r="J51" i="16"/>
  <c r="L25" i="16"/>
  <c r="L24" i="16" s="1"/>
  <c r="AC35" i="16"/>
  <c r="E22" i="16"/>
  <c r="Q19" i="16"/>
  <c r="C58" i="16"/>
  <c r="C57" i="16" s="1"/>
  <c r="C56" i="16" s="1"/>
  <c r="Q29" i="16"/>
  <c r="S51" i="16"/>
  <c r="G40" i="7"/>
  <c r="F40" i="7"/>
  <c r="J38" i="16"/>
  <c r="T19" i="16"/>
  <c r="G19" i="16"/>
  <c r="G10" i="16" s="1"/>
  <c r="G51" i="16"/>
  <c r="G9" i="20"/>
  <c r="H10" i="20"/>
  <c r="E11" i="17"/>
  <c r="C38" i="4"/>
  <c r="H19" i="16"/>
  <c r="H10" i="16" s="1"/>
  <c r="D29" i="5"/>
  <c r="T29" i="16"/>
  <c r="H35" i="16"/>
  <c r="H34" i="16" s="1"/>
  <c r="C45" i="16"/>
  <c r="C44" i="16" s="1"/>
  <c r="C43" i="16" s="1"/>
  <c r="L53" i="16"/>
  <c r="L52" i="16" s="1"/>
  <c r="L51" i="16" s="1"/>
  <c r="D33" i="4" s="1"/>
  <c r="D31" i="4" s="1"/>
  <c r="D57" i="16"/>
  <c r="D56" i="16" s="1"/>
  <c r="D51" i="16" s="1"/>
  <c r="C13" i="16"/>
  <c r="C12" i="16" s="1"/>
  <c r="C11" i="16" s="1"/>
  <c r="Y19" i="16"/>
  <c r="C18" i="19"/>
  <c r="M19" i="19"/>
  <c r="D25" i="16"/>
  <c r="D24" i="16" s="1"/>
  <c r="M52" i="16"/>
  <c r="M51" i="16" s="1"/>
  <c r="AU11" i="17"/>
  <c r="D22" i="16"/>
  <c r="D39" i="16"/>
  <c r="D38" i="16" s="1"/>
  <c r="C50" i="16"/>
  <c r="C49" i="16" s="1"/>
  <c r="C48" i="16" s="1"/>
  <c r="O52" i="16"/>
  <c r="O51" i="16" s="1"/>
  <c r="F35" i="4"/>
  <c r="AH9" i="17"/>
  <c r="AV11" i="17"/>
  <c r="AN9" i="17"/>
  <c r="BB11" i="17"/>
  <c r="AL9" i="17"/>
  <c r="AZ11" i="17"/>
  <c r="AF11" i="17"/>
  <c r="AT20" i="17"/>
  <c r="M34" i="16"/>
  <c r="M24" i="16"/>
  <c r="X29" i="16"/>
  <c r="Z29" i="16"/>
  <c r="W59" i="16"/>
  <c r="U59" i="16"/>
  <c r="W27" i="16"/>
  <c r="W26" i="16" s="1"/>
  <c r="U27" i="16"/>
  <c r="U26" i="16" s="1"/>
  <c r="AC19" i="16"/>
  <c r="AA38" i="16"/>
  <c r="I38" i="16"/>
  <c r="P34" i="16"/>
  <c r="Q34" i="16"/>
  <c r="J20" i="16"/>
  <c r="J19" i="16" s="1"/>
  <c r="V22" i="16"/>
  <c r="N29" i="16"/>
  <c r="R35" i="16"/>
  <c r="R34" i="16" s="1"/>
  <c r="Y35" i="16"/>
  <c r="Y34" i="16" s="1"/>
  <c r="AA51" i="16"/>
  <c r="S35" i="16"/>
  <c r="S34" i="16" s="1"/>
  <c r="W46" i="16"/>
  <c r="W19" i="16"/>
  <c r="S29" i="16"/>
  <c r="S10" i="16" s="1"/>
  <c r="F35" i="16"/>
  <c r="F34" i="16" s="1"/>
  <c r="C42" i="16"/>
  <c r="C41" i="16" s="1"/>
  <c r="C40" i="16" s="1"/>
  <c r="AB49" i="16"/>
  <c r="AB48" i="16" s="1"/>
  <c r="P51" i="16"/>
  <c r="C55" i="16"/>
  <c r="C54" i="16" s="1"/>
  <c r="X35" i="16"/>
  <c r="X34" i="16" s="1"/>
  <c r="G35" i="16"/>
  <c r="G34" i="16" s="1"/>
  <c r="W38" i="16"/>
  <c r="W35" i="16" s="1"/>
  <c r="V44" i="16"/>
  <c r="V43" i="16" s="1"/>
  <c r="AC49" i="16"/>
  <c r="AC48" i="16" s="1"/>
  <c r="M14" i="16"/>
  <c r="N19" i="16"/>
  <c r="I25" i="16"/>
  <c r="R29" i="16"/>
  <c r="W44" i="16"/>
  <c r="W43" i="16" s="1"/>
  <c r="AB46" i="16"/>
  <c r="L19" i="16"/>
  <c r="Y29" i="16"/>
  <c r="Z36" i="16"/>
  <c r="Z35" i="16" s="1"/>
  <c r="AC46" i="16"/>
  <c r="I51" i="16"/>
  <c r="AB29" i="16"/>
  <c r="Q51" i="16"/>
  <c r="P10" i="16"/>
  <c r="C18" i="16"/>
  <c r="C17" i="16" s="1"/>
  <c r="C16" i="16" s="1"/>
  <c r="M19" i="16"/>
  <c r="Z44" i="16"/>
  <c r="Z43" i="16" s="1"/>
  <c r="AB20" i="16"/>
  <c r="E35" i="16"/>
  <c r="K51" i="16"/>
  <c r="F51" i="16"/>
  <c r="R51" i="16"/>
  <c r="M29" i="16"/>
  <c r="R19" i="16"/>
  <c r="O19" i="16"/>
  <c r="O10" i="16" s="1"/>
  <c r="D33" i="16"/>
  <c r="X51" i="16"/>
  <c r="F19" i="16"/>
  <c r="J32" i="16"/>
  <c r="J29" i="16" s="1"/>
  <c r="AC57" i="16"/>
  <c r="AC56" i="16" s="1"/>
  <c r="AC51" i="16" s="1"/>
  <c r="U52" i="16"/>
  <c r="V52" i="16"/>
  <c r="V49" i="16"/>
  <c r="V48" i="16" s="1"/>
  <c r="U49" i="16"/>
  <c r="U48" i="16" s="1"/>
  <c r="AD48" i="16" s="1"/>
  <c r="Z51" i="16"/>
  <c r="T10" i="16"/>
  <c r="O34" i="16"/>
  <c r="Z19" i="16"/>
  <c r="V24" i="16"/>
  <c r="V46" i="16"/>
  <c r="U46" i="16"/>
  <c r="W29" i="16"/>
  <c r="AB51" i="16"/>
  <c r="U17" i="16"/>
  <c r="U16" i="16" s="1"/>
  <c r="V17" i="16"/>
  <c r="V16" i="16" s="1"/>
  <c r="I20" i="16"/>
  <c r="AA20" i="16"/>
  <c r="AA19" i="16" s="1"/>
  <c r="V30" i="16"/>
  <c r="U30" i="16"/>
  <c r="X19" i="16"/>
  <c r="AC29" i="16"/>
  <c r="H51" i="16"/>
  <c r="N51" i="16"/>
  <c r="V54" i="16"/>
  <c r="U57" i="16"/>
  <c r="U56" i="16" s="1"/>
  <c r="AD56" i="16" s="1"/>
  <c r="K34" i="16"/>
  <c r="I36" i="16"/>
  <c r="AA36" i="16"/>
  <c r="W12" i="16"/>
  <c r="W11" i="16" s="1"/>
  <c r="E20" i="16"/>
  <c r="E19" i="16" s="1"/>
  <c r="E25" i="16"/>
  <c r="C28" i="16"/>
  <c r="C27" i="16" s="1"/>
  <c r="C26" i="16" s="1"/>
  <c r="C47" i="16"/>
  <c r="C46" i="16" s="1"/>
  <c r="C53" i="16"/>
  <c r="C52" i="16" s="1"/>
  <c r="W54" i="16"/>
  <c r="T56" i="16"/>
  <c r="T51" i="16" s="1"/>
  <c r="E57" i="16"/>
  <c r="E56" i="16" s="1"/>
  <c r="C60" i="16"/>
  <c r="C59" i="16" s="1"/>
  <c r="D21" i="16"/>
  <c r="E30" i="16"/>
  <c r="E29" i="16" s="1"/>
  <c r="L42" i="16"/>
  <c r="L41" i="16" s="1"/>
  <c r="L40" i="16" s="1"/>
  <c r="K24" i="16"/>
  <c r="K10" i="16" s="1"/>
  <c r="AB17" i="16"/>
  <c r="AB16" i="16" s="1"/>
  <c r="AB22" i="16"/>
  <c r="Y24" i="16"/>
  <c r="E12" i="16"/>
  <c r="E11" i="16" s="1"/>
  <c r="Z14" i="16"/>
  <c r="I33" i="16"/>
  <c r="E54" i="16"/>
  <c r="E51" i="16" s="1"/>
  <c r="Y52" i="16"/>
  <c r="Y51" i="16" s="1"/>
  <c r="D14" i="16"/>
  <c r="L33" i="16"/>
  <c r="L32" i="16" s="1"/>
  <c r="L29" i="16" s="1"/>
  <c r="L10" i="16" s="1"/>
  <c r="D36" i="4" s="1"/>
  <c r="D34" i="4" s="1"/>
  <c r="D37" i="16"/>
  <c r="W41" i="16"/>
  <c r="W40" i="16" s="1"/>
  <c r="E41" i="16"/>
  <c r="E40" i="16" s="1"/>
  <c r="F10" i="16" l="1"/>
  <c r="AD26" i="16"/>
  <c r="AC34" i="16"/>
  <c r="AD46" i="16"/>
  <c r="R10" i="16"/>
  <c r="Q10" i="16"/>
  <c r="AD59" i="16"/>
  <c r="AD52" i="16"/>
  <c r="C39" i="16"/>
  <c r="C38" i="16" s="1"/>
  <c r="I19" i="16"/>
  <c r="C25" i="16"/>
  <c r="C24" i="16" s="1"/>
  <c r="M10" i="16"/>
  <c r="M9" i="16" s="1"/>
  <c r="G9" i="16"/>
  <c r="AC10" i="16"/>
  <c r="AA35" i="16"/>
  <c r="AA34" i="16" s="1"/>
  <c r="J10" i="16"/>
  <c r="J9" i="16" s="1"/>
  <c r="E34" i="16"/>
  <c r="M18" i="19"/>
  <c r="C9" i="19"/>
  <c r="C38" i="7"/>
  <c r="E9" i="17"/>
  <c r="C12" i="8"/>
  <c r="F38" i="4"/>
  <c r="G8" i="20"/>
  <c r="H8" i="20" s="1"/>
  <c r="H9" i="20"/>
  <c r="V51" i="16"/>
  <c r="N10" i="16"/>
  <c r="C51" i="16"/>
  <c r="C33" i="4" s="1"/>
  <c r="AO11" i="17"/>
  <c r="D12" i="8"/>
  <c r="AF9" i="17"/>
  <c r="AT11" i="17"/>
  <c r="S9" i="16"/>
  <c r="P9" i="16"/>
  <c r="X10" i="16"/>
  <c r="X9" i="16" s="1"/>
  <c r="Y10" i="16"/>
  <c r="Y9" i="16" s="1"/>
  <c r="AB19" i="16"/>
  <c r="AB10" i="16" s="1"/>
  <c r="U22" i="16"/>
  <c r="W51" i="16"/>
  <c r="R9" i="16"/>
  <c r="Z34" i="16"/>
  <c r="F9" i="16"/>
  <c r="K9" i="16"/>
  <c r="U44" i="16"/>
  <c r="U43" i="16" s="1"/>
  <c r="AD43" i="16" s="1"/>
  <c r="C33" i="16"/>
  <c r="C32" i="16" s="1"/>
  <c r="C29" i="16" s="1"/>
  <c r="D32" i="16"/>
  <c r="D29" i="16" s="1"/>
  <c r="I35" i="16"/>
  <c r="I34" i="16" s="1"/>
  <c r="Q9" i="16"/>
  <c r="Z10" i="16"/>
  <c r="AA24" i="16"/>
  <c r="I24" i="16"/>
  <c r="AB36" i="16"/>
  <c r="AB35" i="16" s="1"/>
  <c r="AB34" i="16" s="1"/>
  <c r="U32" i="16"/>
  <c r="U29" i="16" s="1"/>
  <c r="V32" i="16"/>
  <c r="V29" i="16" s="1"/>
  <c r="U20" i="16"/>
  <c r="V20" i="16"/>
  <c r="V19" i="16" s="1"/>
  <c r="D20" i="16"/>
  <c r="D19" i="16" s="1"/>
  <c r="C21" i="16"/>
  <c r="C20" i="16" s="1"/>
  <c r="C19" i="16" s="1"/>
  <c r="AA32" i="16"/>
  <c r="AA29" i="16" s="1"/>
  <c r="I32" i="16"/>
  <c r="I29" i="16" s="1"/>
  <c r="W34" i="16"/>
  <c r="U38" i="16"/>
  <c r="V38" i="16"/>
  <c r="U12" i="16"/>
  <c r="U11" i="16" s="1"/>
  <c r="AD11" i="16" s="1"/>
  <c r="H9" i="16"/>
  <c r="U14" i="16"/>
  <c r="AD14" i="16" s="1"/>
  <c r="V14" i="16"/>
  <c r="O9" i="16"/>
  <c r="C37" i="16"/>
  <c r="C36" i="16" s="1"/>
  <c r="C35" i="16" s="1"/>
  <c r="C34" i="16" s="1"/>
  <c r="C39" i="4" s="1"/>
  <c r="C39" i="7" s="1"/>
  <c r="D36" i="16"/>
  <c r="D35" i="16" s="1"/>
  <c r="D34" i="16" s="1"/>
  <c r="U54" i="16"/>
  <c r="U41" i="16"/>
  <c r="U40" i="16" s="1"/>
  <c r="AD40" i="16" s="1"/>
  <c r="V41" i="16"/>
  <c r="V40" i="16" s="1"/>
  <c r="E24" i="16"/>
  <c r="E10" i="16" s="1"/>
  <c r="E9" i="16" l="1"/>
  <c r="AC9" i="16"/>
  <c r="U51" i="16"/>
  <c r="AD54" i="16"/>
  <c r="AD29" i="16"/>
  <c r="C23" i="8"/>
  <c r="C13" i="8"/>
  <c r="C11" i="8"/>
  <c r="C9" i="8" s="1"/>
  <c r="AF9" i="16"/>
  <c r="AF11" i="16" s="1"/>
  <c r="AF13" i="16" s="1"/>
  <c r="H20" i="2" s="1"/>
  <c r="C37" i="4"/>
  <c r="C37" i="7"/>
  <c r="I10" i="16"/>
  <c r="I9" i="16" s="1"/>
  <c r="M9" i="19"/>
  <c r="C33" i="7"/>
  <c r="C31" i="7" s="1"/>
  <c r="C31" i="4"/>
  <c r="E33" i="4"/>
  <c r="AD51" i="16"/>
  <c r="G12" i="8"/>
  <c r="F12" i="8"/>
  <c r="D23" i="8"/>
  <c r="D13" i="8"/>
  <c r="Z9" i="16"/>
  <c r="U19" i="16"/>
  <c r="AB9" i="16"/>
  <c r="AA10" i="16"/>
  <c r="AA9" i="16" s="1"/>
  <c r="C10" i="16"/>
  <c r="D10" i="16"/>
  <c r="D9" i="16" s="1"/>
  <c r="V10" i="16"/>
  <c r="W24" i="16"/>
  <c r="W10" i="16" s="1"/>
  <c r="W9" i="16" s="1"/>
  <c r="U24" i="16"/>
  <c r="AD24" i="16" s="1"/>
  <c r="V36" i="16"/>
  <c r="V35" i="16" s="1"/>
  <c r="V34" i="16" s="1"/>
  <c r="U36" i="16"/>
  <c r="U35" i="16" s="1"/>
  <c r="U10" i="16" l="1"/>
  <c r="AD19" i="16"/>
  <c r="U34" i="16"/>
  <c r="U9" i="16" s="1"/>
  <c r="AD35" i="16"/>
  <c r="F33" i="4"/>
  <c r="E31" i="4"/>
  <c r="E39" i="4"/>
  <c r="AD34" i="16"/>
  <c r="E36" i="4"/>
  <c r="AD10" i="16"/>
  <c r="C9" i="16"/>
  <c r="C28" i="2" s="1"/>
  <c r="C36" i="4"/>
  <c r="V9" i="16"/>
  <c r="AD28" i="15"/>
  <c r="AD27" i="15" s="1"/>
  <c r="AB28" i="15"/>
  <c r="AB27" i="15" s="1"/>
  <c r="X28" i="15"/>
  <c r="X27" i="15" s="1"/>
  <c r="T28" i="15"/>
  <c r="T27" i="15" s="1"/>
  <c r="M27" i="15"/>
  <c r="AF27" i="15"/>
  <c r="AE27" i="15"/>
  <c r="AA27" i="15"/>
  <c r="Z27" i="15"/>
  <c r="Y27" i="15"/>
  <c r="W27" i="15"/>
  <c r="V27" i="15"/>
  <c r="U27" i="15"/>
  <c r="P27" i="15"/>
  <c r="L27" i="15"/>
  <c r="J27" i="15"/>
  <c r="I27" i="15"/>
  <c r="H27" i="15"/>
  <c r="AD26" i="15"/>
  <c r="AB26" i="15"/>
  <c r="AA26" i="15"/>
  <c r="T26" i="15"/>
  <c r="Z26" i="15" s="1"/>
  <c r="AD25" i="15"/>
  <c r="T25" i="15"/>
  <c r="AB25" i="15"/>
  <c r="Z25" i="15"/>
  <c r="AD24" i="15"/>
  <c r="AB24" i="15"/>
  <c r="AA24" i="15"/>
  <c r="T24" i="15"/>
  <c r="Z24" i="15"/>
  <c r="AD23" i="15"/>
  <c r="AB23" i="15"/>
  <c r="T23" i="15"/>
  <c r="AA23" i="15"/>
  <c r="H20" i="15"/>
  <c r="AD22" i="15"/>
  <c r="AB22" i="15"/>
  <c r="T22" i="15"/>
  <c r="AD21" i="15"/>
  <c r="AB21" i="15"/>
  <c r="AA21" i="15"/>
  <c r="T21" i="15"/>
  <c r="AF20" i="15"/>
  <c r="AE20" i="15"/>
  <c r="Y20" i="15"/>
  <c r="X20" i="15"/>
  <c r="W20" i="15"/>
  <c r="V20" i="15"/>
  <c r="U20" i="15"/>
  <c r="P20" i="15"/>
  <c r="M20" i="15"/>
  <c r="L20" i="15"/>
  <c r="J20" i="15"/>
  <c r="I20" i="15"/>
  <c r="AD19" i="15"/>
  <c r="AA19" i="15"/>
  <c r="T19" i="15"/>
  <c r="P16" i="15"/>
  <c r="AD18" i="15"/>
  <c r="AB18" i="15"/>
  <c r="AA18" i="15"/>
  <c r="T18" i="15"/>
  <c r="Z18" i="15" s="1"/>
  <c r="M16" i="15"/>
  <c r="AD17" i="15"/>
  <c r="AB17" i="15"/>
  <c r="U17" i="15"/>
  <c r="T17" i="15" s="1"/>
  <c r="L16" i="15"/>
  <c r="H16" i="15"/>
  <c r="H15" i="15" s="1"/>
  <c r="AF16" i="15"/>
  <c r="AE16" i="15"/>
  <c r="Y16" i="15"/>
  <c r="X16" i="15"/>
  <c r="W16" i="15"/>
  <c r="W15" i="15" s="1"/>
  <c r="V16" i="15"/>
  <c r="V15" i="15" s="1"/>
  <c r="O16" i="15"/>
  <c r="J16" i="15"/>
  <c r="I16" i="15"/>
  <c r="J15" i="15"/>
  <c r="AD13" i="15"/>
  <c r="AB13" i="15"/>
  <c r="AA13" i="15"/>
  <c r="AA11" i="15" s="1"/>
  <c r="AA10" i="15" s="1"/>
  <c r="T13" i="15"/>
  <c r="Z13" i="15" s="1"/>
  <c r="Z11" i="15" s="1"/>
  <c r="Z10" i="15" s="1"/>
  <c r="AD12" i="15"/>
  <c r="AB12" i="15"/>
  <c r="T12" i="15"/>
  <c r="K11" i="15"/>
  <c r="K10" i="15" s="1"/>
  <c r="AF11" i="15"/>
  <c r="AF10" i="15" s="1"/>
  <c r="AE11" i="15"/>
  <c r="AE10" i="15" s="1"/>
  <c r="Y11" i="15"/>
  <c r="Y10" i="15" s="1"/>
  <c r="X11" i="15"/>
  <c r="X10" i="15" s="1"/>
  <c r="W11" i="15"/>
  <c r="W10" i="15" s="1"/>
  <c r="V11" i="15"/>
  <c r="V10" i="15" s="1"/>
  <c r="U11" i="15"/>
  <c r="U10" i="15" s="1"/>
  <c r="P11" i="15"/>
  <c r="P10" i="15" s="1"/>
  <c r="O11" i="15"/>
  <c r="O10" i="15" s="1"/>
  <c r="N11" i="15"/>
  <c r="N10" i="15" s="1"/>
  <c r="M11" i="15"/>
  <c r="M10" i="15" s="1"/>
  <c r="L11" i="15"/>
  <c r="L10" i="15" s="1"/>
  <c r="J11" i="15"/>
  <c r="J10" i="15" s="1"/>
  <c r="I11" i="15"/>
  <c r="I10" i="15" s="1"/>
  <c r="H11" i="15"/>
  <c r="H10" i="15" s="1"/>
  <c r="Y10" i="14"/>
  <c r="W10" i="14"/>
  <c r="B12" i="14"/>
  <c r="Z10" i="14"/>
  <c r="X10" i="14"/>
  <c r="J10" i="14"/>
  <c r="B11" i="14"/>
  <c r="V10" i="14"/>
  <c r="S10" i="14"/>
  <c r="P10" i="14"/>
  <c r="O10" i="14"/>
  <c r="L10" i="14"/>
  <c r="K10" i="14"/>
  <c r="I10" i="14"/>
  <c r="H10" i="14"/>
  <c r="U32" i="13"/>
  <c r="T31" i="13"/>
  <c r="H31" i="13"/>
  <c r="U31" i="13" s="1"/>
  <c r="C31" i="13"/>
  <c r="C29" i="13"/>
  <c r="C28" i="13"/>
  <c r="C27" i="13"/>
  <c r="T20" i="13"/>
  <c r="C26" i="13"/>
  <c r="C25" i="13"/>
  <c r="C24" i="13"/>
  <c r="C23" i="13"/>
  <c r="C22" i="13"/>
  <c r="C21" i="13"/>
  <c r="U20" i="13"/>
  <c r="F20" i="13"/>
  <c r="U19" i="13"/>
  <c r="C19" i="13"/>
  <c r="U18" i="13"/>
  <c r="C18" i="13"/>
  <c r="U17" i="13"/>
  <c r="T16" i="13"/>
  <c r="C17" i="13"/>
  <c r="U16" i="13"/>
  <c r="Q16" i="13"/>
  <c r="U15" i="13"/>
  <c r="C15" i="13"/>
  <c r="I10" i="13"/>
  <c r="I9" i="13" s="1"/>
  <c r="T10" i="13"/>
  <c r="Q10" i="13"/>
  <c r="M10" i="13"/>
  <c r="M9" i="13" s="1"/>
  <c r="J10" i="13"/>
  <c r="J9" i="13" s="1"/>
  <c r="H10" i="13"/>
  <c r="S10" i="13"/>
  <c r="S9" i="13" s="1"/>
  <c r="R10" i="13"/>
  <c r="R9" i="13" s="1"/>
  <c r="E25" i="23" s="1"/>
  <c r="P10" i="13"/>
  <c r="P9" i="13" s="1"/>
  <c r="O10" i="13"/>
  <c r="O9" i="13" s="1"/>
  <c r="N10" i="13"/>
  <c r="N9" i="13" s="1"/>
  <c r="E16" i="23" s="1"/>
  <c r="G16" i="23" s="1"/>
  <c r="L10" i="13"/>
  <c r="L9" i="13" s="1"/>
  <c r="K10" i="13"/>
  <c r="K9" i="13" s="1"/>
  <c r="G10" i="13"/>
  <c r="G9" i="13" s="1"/>
  <c r="E28" i="23" s="1"/>
  <c r="F10" i="13"/>
  <c r="C10" i="13"/>
  <c r="U9" i="13"/>
  <c r="N9" i="12"/>
  <c r="D9" i="12"/>
  <c r="E33" i="10"/>
  <c r="E18" i="10"/>
  <c r="C18" i="10"/>
  <c r="C16" i="10"/>
  <c r="E12" i="10"/>
  <c r="C13" i="10"/>
  <c r="T11" i="15" l="1"/>
  <c r="T10" i="15" s="1"/>
  <c r="AF15" i="15"/>
  <c r="M15" i="15"/>
  <c r="AD11" i="15"/>
  <c r="AD10" i="15" s="1"/>
  <c r="AA17" i="15"/>
  <c r="AA16" i="15" s="1"/>
  <c r="J9" i="15"/>
  <c r="T20" i="15"/>
  <c r="U16" i="15"/>
  <c r="U15" i="15" s="1"/>
  <c r="U9" i="15" s="1"/>
  <c r="AD16" i="15"/>
  <c r="V9" i="15"/>
  <c r="X15" i="15"/>
  <c r="X9" i="15" s="1"/>
  <c r="Y15" i="15"/>
  <c r="Y9" i="15" s="1"/>
  <c r="AE15" i="15"/>
  <c r="AE9" i="15" s="1"/>
  <c r="F18" i="23"/>
  <c r="F15" i="23" s="1"/>
  <c r="W9" i="15"/>
  <c r="AD9" i="16"/>
  <c r="D28" i="2"/>
  <c r="C36" i="7"/>
  <c r="C34" i="7" s="1"/>
  <c r="C30" i="7" s="1"/>
  <c r="C34" i="4"/>
  <c r="C30" i="4" s="1"/>
  <c r="C29" i="4" s="1"/>
  <c r="C9" i="4" s="1"/>
  <c r="C28" i="5"/>
  <c r="C29" i="2"/>
  <c r="AD20" i="15"/>
  <c r="AD15" i="15" s="1"/>
  <c r="AD9" i="15" s="1"/>
  <c r="AF9" i="15"/>
  <c r="F36" i="4"/>
  <c r="E34" i="4"/>
  <c r="E39" i="28"/>
  <c r="H39" i="28"/>
  <c r="F26" i="28"/>
  <c r="F25" i="28" s="1"/>
  <c r="E20" i="28"/>
  <c r="G20" i="28" s="1"/>
  <c r="H20" i="28"/>
  <c r="H16" i="28"/>
  <c r="E17" i="28"/>
  <c r="H54" i="28"/>
  <c r="E54" i="28"/>
  <c r="G54" i="28" s="1"/>
  <c r="F9" i="13"/>
  <c r="AB11" i="15"/>
  <c r="AB10" i="15" s="1"/>
  <c r="F39" i="4"/>
  <c r="E37" i="4"/>
  <c r="H52" i="28"/>
  <c r="E52" i="28"/>
  <c r="G52" i="28" s="1"/>
  <c r="F22" i="28"/>
  <c r="F21" i="28" s="1"/>
  <c r="G31" i="4"/>
  <c r="F31" i="4"/>
  <c r="H42" i="28"/>
  <c r="E43" i="28"/>
  <c r="H41" i="28"/>
  <c r="E41" i="28"/>
  <c r="G41" i="28" s="1"/>
  <c r="H40" i="28"/>
  <c r="E40" i="28"/>
  <c r="G40" i="28" s="1"/>
  <c r="T16" i="15"/>
  <c r="E30" i="23"/>
  <c r="G30" i="23" s="1"/>
  <c r="E21" i="23"/>
  <c r="E17" i="23"/>
  <c r="G17" i="23" s="1"/>
  <c r="G28" i="23"/>
  <c r="E23" i="23"/>
  <c r="G23" i="23" s="1"/>
  <c r="E22" i="23"/>
  <c r="G22" i="23" s="1"/>
  <c r="Q9" i="13"/>
  <c r="E18" i="23" s="1"/>
  <c r="C20" i="13"/>
  <c r="C16" i="13"/>
  <c r="C9" i="13" s="1"/>
  <c r="AB20" i="15"/>
  <c r="P15" i="15"/>
  <c r="P9" i="15" s="1"/>
  <c r="I15" i="15"/>
  <c r="L15" i="15"/>
  <c r="L9" i="15" s="1"/>
  <c r="I9" i="15"/>
  <c r="H9" i="15"/>
  <c r="H9" i="13"/>
  <c r="E27" i="23" s="1"/>
  <c r="G11" i="10"/>
  <c r="G10" i="10" s="1"/>
  <c r="K20" i="15"/>
  <c r="N16" i="15"/>
  <c r="N20" i="15"/>
  <c r="Z21" i="15"/>
  <c r="Z20" i="15" s="1"/>
  <c r="M9" i="15"/>
  <c r="O27" i="15"/>
  <c r="N27" i="15"/>
  <c r="K16" i="15"/>
  <c r="Z19" i="15"/>
  <c r="K27" i="15"/>
  <c r="O20" i="15"/>
  <c r="O15" i="15" s="1"/>
  <c r="Z23" i="15"/>
  <c r="AA25" i="15"/>
  <c r="AA20" i="15" s="1"/>
  <c r="AA15" i="15" s="1"/>
  <c r="AA9" i="15" s="1"/>
  <c r="AB19" i="15"/>
  <c r="AB16" i="15" s="1"/>
  <c r="Z17" i="15"/>
  <c r="Z16" i="15" s="1"/>
  <c r="Q10" i="14"/>
  <c r="E10" i="14"/>
  <c r="M10" i="14"/>
  <c r="T10" i="14"/>
  <c r="U10" i="14"/>
  <c r="G10" i="14"/>
  <c r="F10" i="14"/>
  <c r="R10" i="14"/>
  <c r="N10" i="14"/>
  <c r="T9" i="13"/>
  <c r="D10" i="13"/>
  <c r="E10" i="13"/>
  <c r="C9" i="12"/>
  <c r="M9" i="12"/>
  <c r="C14" i="10"/>
  <c r="E11" i="10"/>
  <c r="E10" i="10" s="1"/>
  <c r="C15" i="10"/>
  <c r="C33" i="10"/>
  <c r="T15" i="15" l="1"/>
  <c r="T9" i="15" s="1"/>
  <c r="E30" i="4"/>
  <c r="G18" i="23"/>
  <c r="N16" i="24"/>
  <c r="N17" i="24" s="1"/>
  <c r="C29" i="7"/>
  <c r="G30" i="7"/>
  <c r="F30" i="7"/>
  <c r="E29" i="23"/>
  <c r="G29" i="23" s="1"/>
  <c r="G30" i="4"/>
  <c r="E29" i="4"/>
  <c r="G29" i="4" s="1"/>
  <c r="C29" i="5"/>
  <c r="C27" i="5" s="1"/>
  <c r="C19" i="5" s="1"/>
  <c r="E29" i="2"/>
  <c r="C27" i="2"/>
  <c r="C19" i="2" s="1"/>
  <c r="F15" i="28"/>
  <c r="F9" i="28" s="1"/>
  <c r="F8" i="28" s="1"/>
  <c r="H51" i="28"/>
  <c r="E51" i="28"/>
  <c r="G51" i="28" s="1"/>
  <c r="AB15" i="15"/>
  <c r="AB9" i="15" s="1"/>
  <c r="E16" i="28"/>
  <c r="G17" i="28"/>
  <c r="G16" i="28" s="1"/>
  <c r="E38" i="28"/>
  <c r="G39" i="28"/>
  <c r="G38" i="28" s="1"/>
  <c r="D28" i="5"/>
  <c r="D27" i="5" s="1"/>
  <c r="D27" i="2"/>
  <c r="F27" i="2" s="1"/>
  <c r="E28" i="2"/>
  <c r="H53" i="28"/>
  <c r="E53" i="28"/>
  <c r="G53" i="28" s="1"/>
  <c r="F34" i="4"/>
  <c r="G34" i="4"/>
  <c r="E42" i="28"/>
  <c r="G43" i="28"/>
  <c r="G42" i="28" s="1"/>
  <c r="G37" i="4"/>
  <c r="F37" i="4"/>
  <c r="H21" i="28"/>
  <c r="E22" i="28"/>
  <c r="F9" i="23"/>
  <c r="F8" i="23" s="1"/>
  <c r="G21" i="23"/>
  <c r="G20" i="23" s="1"/>
  <c r="E20" i="23"/>
  <c r="G27" i="23"/>
  <c r="G25" i="23"/>
  <c r="G24" i="23" s="1"/>
  <c r="E24" i="23"/>
  <c r="E9" i="13"/>
  <c r="E19" i="23" s="1"/>
  <c r="G19" i="23" s="1"/>
  <c r="Z15" i="15"/>
  <c r="Z9" i="15" s="1"/>
  <c r="K15" i="15"/>
  <c r="K9" i="15" s="1"/>
  <c r="C12" i="10"/>
  <c r="C11" i="10" s="1"/>
  <c r="C10" i="10" s="1"/>
  <c r="N15" i="15"/>
  <c r="N9" i="15" s="1"/>
  <c r="O9" i="15"/>
  <c r="D10" i="14"/>
  <c r="C10" i="14"/>
  <c r="D9" i="13"/>
  <c r="H8" i="28" s="1"/>
  <c r="N38" i="16"/>
  <c r="N35" i="16" s="1"/>
  <c r="N34" i="16" s="1"/>
  <c r="N9" i="16" s="1"/>
  <c r="T39" i="16"/>
  <c r="T38" i="16" s="1"/>
  <c r="T35" i="16" s="1"/>
  <c r="T34" i="16" s="1"/>
  <c r="T9" i="16" s="1"/>
  <c r="L39" i="16"/>
  <c r="L38" i="16" s="1"/>
  <c r="L35" i="16" s="1"/>
  <c r="L34" i="16" s="1"/>
  <c r="D30" i="5"/>
  <c r="E30" i="2"/>
  <c r="E64" i="4"/>
  <c r="F64" i="4" s="1"/>
  <c r="D49" i="8" l="1"/>
  <c r="F49" i="8" s="1"/>
  <c r="L9" i="16"/>
  <c r="D39" i="8" s="1"/>
  <c r="F39" i="8" s="1"/>
  <c r="D39" i="4"/>
  <c r="D37" i="4" s="1"/>
  <c r="D30" i="4" s="1"/>
  <c r="G30" i="5"/>
  <c r="F30" i="5"/>
  <c r="G27" i="5"/>
  <c r="F27" i="5"/>
  <c r="C9" i="7"/>
  <c r="F29" i="7"/>
  <c r="G29" i="7"/>
  <c r="G15" i="23"/>
  <c r="E27" i="2"/>
  <c r="E19" i="2" s="1"/>
  <c r="I42" i="28"/>
  <c r="E15" i="23"/>
  <c r="I16" i="28"/>
  <c r="F30" i="4"/>
  <c r="F29" i="4" s="1"/>
  <c r="F9" i="4" s="1"/>
  <c r="E26" i="28"/>
  <c r="H25" i="28"/>
  <c r="D19" i="5"/>
  <c r="E21" i="28"/>
  <c r="G22" i="28"/>
  <c r="G21" i="28" s="1"/>
  <c r="I20" i="28" s="1"/>
  <c r="D19" i="2"/>
  <c r="F19" i="2" s="1"/>
  <c r="D29" i="8"/>
  <c r="E9" i="4"/>
  <c r="H19" i="2" l="1"/>
  <c r="H21" i="2" s="1"/>
  <c r="G9" i="7"/>
  <c r="F9" i="7"/>
  <c r="G19" i="5"/>
  <c r="F19" i="5"/>
  <c r="E25" i="28"/>
  <c r="G26" i="28"/>
  <c r="G25" i="28" s="1"/>
  <c r="G15" i="28" s="1"/>
  <c r="G9" i="28" s="1"/>
  <c r="G8" i="28" s="1"/>
  <c r="D11" i="8"/>
  <c r="G29" i="8"/>
  <c r="F29" i="8"/>
  <c r="G9" i="23"/>
  <c r="G8" i="23" s="1"/>
  <c r="G9" i="4"/>
  <c r="I11" i="8"/>
  <c r="I25" i="28" l="1"/>
  <c r="E15" i="28"/>
  <c r="F11" i="8"/>
  <c r="G11" i="8"/>
  <c r="D9" i="8"/>
  <c r="J11" i="8"/>
  <c r="E9" i="28" l="1"/>
  <c r="E8" i="28" s="1"/>
  <c r="I8" i="28" s="1"/>
  <c r="I15" i="28"/>
  <c r="G9" i="8"/>
  <c r="F9" i="8"/>
  <c r="I12" i="8"/>
  <c r="E9" i="23"/>
  <c r="E8" i="23" s="1"/>
  <c r="I8" i="23" s="1"/>
</calcChain>
</file>

<file path=xl/comments1.xml><?xml version="1.0" encoding="utf-8"?>
<comments xmlns="http://schemas.openxmlformats.org/spreadsheetml/2006/main">
  <authors>
    <author>Administrator</author>
  </authors>
  <commentList>
    <comment ref="I18" authorId="0">
      <text>
        <r>
          <rPr>
            <b/>
            <sz val="9"/>
            <color indexed="81"/>
            <rFont val="Segoe UI"/>
            <family val="2"/>
          </rPr>
          <t>Administrator:</t>
        </r>
        <r>
          <rPr>
            <sz val="9"/>
            <color indexed="81"/>
            <rFont val="Segoe UI"/>
            <family val="2"/>
          </rPr>
          <t xml:space="preserve">
Tỉnh cấp thiếu 956,570,638 TW</t>
        </r>
      </text>
    </comment>
    <comment ref="M24" authorId="0">
      <text>
        <r>
          <rPr>
            <b/>
            <sz val="9"/>
            <color indexed="81"/>
            <rFont val="Segoe UI"/>
            <family val="2"/>
          </rPr>
          <t>Administrator:</t>
        </r>
        <r>
          <rPr>
            <sz val="9"/>
            <color indexed="81"/>
            <rFont val="Segoe UI"/>
            <family val="2"/>
          </rPr>
          <t xml:space="preserve">
trừ 100,000 đ vì tỉnh làm tròn số đợt qđ 1015, và nhu cầu CL ko hết tiền</t>
        </r>
      </text>
    </comment>
    <comment ref="AN24" authorId="0">
      <text>
        <r>
          <rPr>
            <b/>
            <sz val="9"/>
            <color indexed="81"/>
            <rFont val="Segoe UI"/>
            <family val="2"/>
          </rPr>
          <t>Administrator:</t>
        </r>
        <r>
          <rPr>
            <sz val="9"/>
            <color indexed="81"/>
            <rFont val="Segoe UI"/>
            <family val="2"/>
          </rPr>
          <t xml:space="preserve">
trừ 100,000 đ vì tỉnh làm tròn số đợt qđ 1015, và nhu cầu CL ko hết tiền</t>
        </r>
      </text>
    </comment>
    <comment ref="L42" authorId="0">
      <text>
        <r>
          <rPr>
            <b/>
            <sz val="9"/>
            <color indexed="81"/>
            <rFont val="Segoe UI"/>
            <family val="2"/>
          </rPr>
          <t>Administrator:</t>
        </r>
        <r>
          <rPr>
            <sz val="9"/>
            <color indexed="81"/>
            <rFont val="Segoe UI"/>
            <family val="2"/>
          </rPr>
          <t xml:space="preserve">
số trước: 54,115,815, lệch 443,622 vì tỉnh làm tròn số ở qđ 1015</t>
        </r>
      </text>
    </comment>
    <comment ref="AD42" authorId="0">
      <text>
        <r>
          <rPr>
            <b/>
            <sz val="9"/>
            <color indexed="81"/>
            <rFont val="Segoe UI"/>
            <family val="2"/>
          </rPr>
          <t>Administrator:</t>
        </r>
        <r>
          <rPr>
            <sz val="9"/>
            <color indexed="81"/>
            <rFont val="Segoe UI"/>
            <family val="2"/>
          </rPr>
          <t xml:space="preserve">
số trước: 54,115,815, lệch 443,622 vì tỉnh làm tròn số ở qđ 1015</t>
        </r>
      </text>
    </comment>
    <comment ref="B52" authorId="0">
      <text>
        <r>
          <rPr>
            <b/>
            <sz val="9"/>
            <color indexed="81"/>
            <rFont val="Segoe UI"/>
            <family val="2"/>
          </rPr>
          <t>Administrator:</t>
        </r>
        <r>
          <rPr>
            <sz val="9"/>
            <color indexed="81"/>
            <rFont val="Segoe UI"/>
            <family val="2"/>
          </rPr>
          <t xml:space="preserve">
TT, TKC huyện 2024</t>
        </r>
      </text>
    </comment>
    <comment ref="B53" authorId="0">
      <text>
        <r>
          <rPr>
            <b/>
            <sz val="9"/>
            <color indexed="81"/>
            <rFont val="Segoe UI"/>
            <family val="2"/>
          </rPr>
          <t>Administrator:</t>
        </r>
        <r>
          <rPr>
            <sz val="9"/>
            <color indexed="81"/>
            <rFont val="Segoe UI"/>
            <family val="2"/>
          </rPr>
          <t xml:space="preserve">
TT, TKC huyện 2024</t>
        </r>
      </text>
    </comment>
    <comment ref="B55" authorId="0">
      <text>
        <r>
          <rPr>
            <b/>
            <sz val="9"/>
            <color indexed="81"/>
            <rFont val="Segoe UI"/>
            <family val="2"/>
          </rPr>
          <t>Administrator:</t>
        </r>
        <r>
          <rPr>
            <sz val="9"/>
            <color indexed="81"/>
            <rFont val="Segoe UI"/>
            <family val="2"/>
          </rPr>
          <t xml:space="preserve">
nguồn tỉnh 7 tỷ 2024</t>
        </r>
      </text>
    </comment>
  </commentList>
</comments>
</file>

<file path=xl/comments2.xml><?xml version="1.0" encoding="utf-8"?>
<comments xmlns="http://schemas.openxmlformats.org/spreadsheetml/2006/main">
  <authors>
    <author>Administrator</author>
  </authors>
  <commentList>
    <comment ref="B50" authorId="0">
      <text>
        <r>
          <rPr>
            <b/>
            <sz val="9"/>
            <color indexed="81"/>
            <rFont val="Segoe UI"/>
            <family val="2"/>
          </rPr>
          <t>Administrator:</t>
        </r>
        <r>
          <rPr>
            <sz val="9"/>
            <color indexed="81"/>
            <rFont val="Segoe UI"/>
            <family val="2"/>
          </rPr>
          <t xml:space="preserve">
TT, TKC huyện 2024</t>
        </r>
      </text>
    </comment>
    <comment ref="B51" authorId="0">
      <text>
        <r>
          <rPr>
            <b/>
            <sz val="9"/>
            <color indexed="81"/>
            <rFont val="Segoe UI"/>
            <family val="2"/>
          </rPr>
          <t>Administrator:</t>
        </r>
        <r>
          <rPr>
            <sz val="9"/>
            <color indexed="81"/>
            <rFont val="Segoe UI"/>
            <family val="2"/>
          </rPr>
          <t xml:space="preserve">
TT, TKC huyện 2024</t>
        </r>
      </text>
    </comment>
    <comment ref="B53" authorId="0">
      <text>
        <r>
          <rPr>
            <b/>
            <sz val="9"/>
            <color indexed="81"/>
            <rFont val="Segoe UI"/>
            <family val="2"/>
          </rPr>
          <t>Administrator:</t>
        </r>
        <r>
          <rPr>
            <sz val="9"/>
            <color indexed="81"/>
            <rFont val="Segoe UI"/>
            <family val="2"/>
          </rPr>
          <t xml:space="preserve">
nguồn tỉnh 7 tỷ 2024</t>
        </r>
      </text>
    </comment>
  </commentList>
</comments>
</file>

<file path=xl/comments3.xml><?xml version="1.0" encoding="utf-8"?>
<comments xmlns="http://schemas.openxmlformats.org/spreadsheetml/2006/main">
  <authors>
    <author>Administrator</author>
  </authors>
  <commentList>
    <comment ref="E306" authorId="0">
      <text>
        <r>
          <rPr>
            <b/>
            <sz val="9"/>
            <color indexed="81"/>
            <rFont val="Segoe UI"/>
            <family val="2"/>
          </rPr>
          <t>Administrator:</t>
        </r>
        <r>
          <rPr>
            <sz val="9"/>
            <color indexed="81"/>
            <rFont val="Segoe UI"/>
            <family val="2"/>
          </rPr>
          <t xml:space="preserve">
ô cát 0,3, ô Lường 0,2
</t>
        </r>
      </text>
    </comment>
    <comment ref="E597" authorId="0">
      <text>
        <r>
          <rPr>
            <b/>
            <sz val="9"/>
            <color indexed="81"/>
            <rFont val="Segoe UI"/>
            <family val="2"/>
          </rPr>
          <t>Administrator:</t>
        </r>
        <r>
          <rPr>
            <sz val="9"/>
            <color indexed="81"/>
            <rFont val="Segoe UI"/>
            <family val="2"/>
          </rPr>
          <t xml:space="preserve">
đv tính thiếu</t>
        </r>
      </text>
    </comment>
  </commentList>
</comments>
</file>

<file path=xl/sharedStrings.xml><?xml version="1.0" encoding="utf-8"?>
<sst xmlns="http://schemas.openxmlformats.org/spreadsheetml/2006/main" count="3991" uniqueCount="933">
  <si>
    <t>STT</t>
  </si>
  <si>
    <t>Tên quỹ</t>
  </si>
  <si>
    <t>Tổng nguồn vốn phát sinh trong năm</t>
  </si>
  <si>
    <t>Tổng sử dụng nguồn vốn trong năm</t>
  </si>
  <si>
    <t>Chênh lệch nguồn trong năm</t>
  </si>
  <si>
    <t>Tổng số</t>
  </si>
  <si>
    <t>A</t>
  </si>
  <si>
    <t>B</t>
  </si>
  <si>
    <t>5=2-4</t>
  </si>
  <si>
    <t>6=1+2-4</t>
  </si>
  <si>
    <t>10=7-9</t>
  </si>
  <si>
    <t>11=6+7-9</t>
  </si>
  <si>
    <t>Quỹ A</t>
  </si>
  <si>
    <t>Quỹ B</t>
  </si>
  <si>
    <t>Quỹ C</t>
  </si>
  <si>
    <t>………</t>
  </si>
  <si>
    <t>Nội dung (1)</t>
  </si>
  <si>
    <t>So sánh</t>
  </si>
  <si>
    <t>Tuyệt đối</t>
  </si>
  <si>
    <t>Tương đối (%)</t>
  </si>
  <si>
    <t>3=2-1</t>
  </si>
  <si>
    <t>4=2/1</t>
  </si>
  <si>
    <t>TỔNG NGUỒN THU NSĐP</t>
  </si>
  <si>
    <t>I</t>
  </si>
  <si>
    <t>Thu NSĐP được hưởng theo phân cấp</t>
  </si>
  <si>
    <t>Thu NSĐP hưởng 100%</t>
  </si>
  <si>
    <t>Thu NSĐP hưởng từ các khoản thu phân chia</t>
  </si>
  <si>
    <t>II</t>
  </si>
  <si>
    <t xml:space="preserve">Thu bổ sung từ ngân sách cấp trên </t>
  </si>
  <si>
    <t>Thu bổ sung cân đối ngân sách</t>
  </si>
  <si>
    <t>Thu bổ sung có mục tiêu</t>
  </si>
  <si>
    <t>III</t>
  </si>
  <si>
    <t>Thu từ quỹ dự trữ tài chính</t>
  </si>
  <si>
    <t>IV</t>
  </si>
  <si>
    <t>Thu kết dư</t>
  </si>
  <si>
    <t>V</t>
  </si>
  <si>
    <t>Thu chuyển nguồn từ năm trước chuyển sang</t>
  </si>
  <si>
    <t>TỔNG CHI NSĐP</t>
  </si>
  <si>
    <t xml:space="preserve">Tổng chi cân đối NSĐP </t>
  </si>
  <si>
    <t>Chi đầu tư phát triển</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</si>
  <si>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</si>
  <si>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</si>
  <si>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</si>
  <si>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</si>
  <si>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</si>
  <si>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t>
  </si>
  <si>
    <t>Chi các chương trình mục tiêu quốc gia</t>
  </si>
  <si>
    <t>Chi các chương trình mục tiêu, nhiệm vụ</t>
  </si>
  <si>
    <t>Chi chuyển nguồn sang năm sau</t>
  </si>
  <si>
    <t>C</t>
  </si>
  <si>
    <t>BỘI CHI NSĐP/BỘI THU NSĐP</t>
  </si>
  <si>
    <t>D</t>
  </si>
  <si>
    <t>CHI TRẢ NỢ GỐC CỦA NSĐP</t>
  </si>
  <si>
    <t>Từ nguồn vay để trả nợ gốc</t>
  </si>
  <si>
    <t>Từ nguồn bội thu, tăng thu, tiết kiệm chi, kết dư ngân sách cấp tỉnh</t>
  </si>
  <si>
    <t>E</t>
  </si>
  <si>
    <t>TỔNG MỨC VAY CỦA NSĐP</t>
  </si>
  <si>
    <t>Vay để bù đắp bội chi</t>
  </si>
  <si>
    <t>Vay để trả nợ gốc</t>
  </si>
  <si>
    <t>Nội dung</t>
  </si>
  <si>
    <t>So sánh (%)</t>
  </si>
  <si>
    <t>Tổng thu NSNN</t>
  </si>
  <si>
    <t>Thu NSĐP</t>
  </si>
  <si>
    <t>5=3/1</t>
  </si>
  <si>
    <t>6=4/2</t>
  </si>
  <si>
    <t>TỔNG THU NSNN</t>
  </si>
  <si>
    <t>Thu nội địa</t>
  </si>
  <si>
    <t>Thu từ khu vực DNNN do trung ương quản lý (1)</t>
  </si>
  <si>
    <t>(Chi tiết theo sắc thuế)</t>
  </si>
  <si>
    <t>Thu từ khu vực DNNN do địa phương quản lý (2)</t>
  </si>
  <si>
    <t>Thu từ khu vực doanh nghiệp có vốn đầu tư nước ngoài (3)</t>
  </si>
  <si>
    <t>Thu từ khu vực kinh tế ngoài quốc doanh (4)</t>
  </si>
  <si>
    <t>Thuế thu nhập cá nhân</t>
  </si>
  <si>
    <t>Thuế bảo vệ môi trường</t>
  </si>
  <si>
    <t>-</t>
  </si>
  <si>
    <t>Thuế BVMT thu từ hàng hóa sản xuất, kinh doanh trong nước</t>
  </si>
  <si>
    <t>Thuế BVMT thu từ hàng hóa nhập khẩu</t>
  </si>
  <si>
    <t>Lệ phí trước bạ</t>
  </si>
  <si>
    <t xml:space="preserve">Thu phí, lệ phí </t>
  </si>
  <si>
    <t>Phí và lệ phí trung ương</t>
  </si>
  <si>
    <t>Phí và lệ phí tỉnh</t>
  </si>
  <si>
    <t>Phí và lệ phí huyện</t>
  </si>
  <si>
    <t>Phí và lệ phí xã, phường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</si>
  <si>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</si>
  <si>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</si>
  <si>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</si>
  <si>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</si>
  <si>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</si>
  <si>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</si>
  <si>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</si>
  <si>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</si>
  <si>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</si>
  <si>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(5)</t>
  </si>
  <si>
    <t>Lợi nhuận được chia của Nhà nước và lợi nhuận sau thuế còn lại sau khi trích lập các quỹ của doanh nghiệp nhà nước (5)</t>
  </si>
  <si>
    <t>Chênh lệch thu chi Ngân hàng Nhà nước (5)</t>
  </si>
  <si>
    <t>Thu từ dầu thô</t>
  </si>
  <si>
    <t xml:space="preserve">Thu từ hoạt động xuất, nhập khẩu </t>
  </si>
  <si>
    <t>Thuế GTGT thu từ hàng hóa nhập khẩu</t>
  </si>
  <si>
    <t>Thuế xuất khẩu</t>
  </si>
  <si>
    <t>Thuế nhập khẩu</t>
  </si>
  <si>
    <t>Thuế TTĐB thu từ hàng hóa nhập khẩu</t>
  </si>
  <si>
    <t>Thu khác</t>
  </si>
  <si>
    <t>Thu viện trợ</t>
  </si>
  <si>
    <t>CHI CÂN ĐỐI NSĐP</t>
  </si>
  <si>
    <t xml:space="preserve">Chi đầu tư cho các dự án </t>
  </si>
  <si>
    <t>Trong đó: Chia theo lĩnh vực</t>
  </si>
  <si>
    <t>Chi giáo dục - đào tạo và dạy nghề</t>
  </si>
  <si>
    <t xml:space="preserve">Chi khoa học và công nghệ </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</si>
  <si>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</si>
  <si>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</si>
  <si>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</si>
  <si>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</si>
  <si>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</si>
  <si>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</si>
  <si>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khoa học và công nghệ</t>
  </si>
  <si>
    <t>VI</t>
  </si>
  <si>
    <t>CHI CÁC CHƯƠNG TRÌNH MỤC TIÊU</t>
  </si>
  <si>
    <t xml:space="preserve">Chi các chương trình mục tiêu, nhiệm vụ </t>
  </si>
  <si>
    <t>CHI CHUYỂN NGUỒN SANG NĂM SAU</t>
  </si>
  <si>
    <t>So sánh (3)</t>
  </si>
  <si>
    <t>Chi đầu tư phát triển (1)</t>
  </si>
  <si>
    <t>Chi trả nợ lãi các khoản do chính quyền địa phương vay (2)</t>
  </si>
  <si>
    <t>Chi bổ sung quỹ dự trữ tài chính (2)</t>
  </si>
  <si>
    <t xml:space="preserve">Chi các chương trình mục tiêu </t>
  </si>
  <si>
    <t>BỘI CHI NSĐP/BỘI THU NSĐP (2)</t>
  </si>
  <si>
    <t>CHI TRẢ NỢ GỐC CỦA NSĐP (2)</t>
  </si>
  <si>
    <t>TỔNG MỨC VAY CỦA NSĐP (2)</t>
  </si>
  <si>
    <t xml:space="preserve">Thu từ khu vực DNNN do địa phương quản lý (2) </t>
  </si>
  <si>
    <t xml:space="preserve">Thu từ khu vực doanh nghiệp có vốn đầu tư nước ngoài (3) </t>
  </si>
  <si>
    <t xml:space="preserve">Thu từ khu vực kinh tế ngoài quốc doanh (4) </t>
  </si>
  <si>
    <t xml:space="preserve">Thuế bảo vệ môi trường </t>
  </si>
  <si>
    <t>Thu phí, lệ phí</t>
  </si>
  <si>
    <t xml:space="preserve">Thu từ hoạt động xổ số kiến thiết </t>
  </si>
  <si>
    <t>Thu từ hoạt động xuất, nhập khẩu</t>
  </si>
  <si>
    <t>Chi khoa học và công nghệ (2)</t>
  </si>
  <si>
    <t>CHI BỔ SUNG CÂN ĐỐI CHO NGÂN SÁCH CẤP DƯỚI (1)</t>
  </si>
  <si>
    <t xml:space="preserve">Chi đầu tư phát triển </t>
  </si>
  <si>
    <t>Chi đầu tư cho các dự án</t>
  </si>
  <si>
    <t>Chi quốc phòng</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</si>
  <si>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</si>
  <si>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</si>
  <si>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</si>
  <si>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</si>
  <si>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</si>
  <si>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</si>
  <si>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</si>
  <si>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</si>
  <si>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</si>
  <si>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đầu tư khác</t>
  </si>
  <si>
    <t>Chi thường xuyên khác</t>
  </si>
  <si>
    <t>Biểu số 34
Kèm theo Nghị định số 31/2017/NĐ-CP ngày 23/3/2017 của Chính phủ</t>
  </si>
  <si>
    <t>Phụ lục IV</t>
  </si>
  <si>
    <t>Đơn vị tính: Đồng</t>
  </si>
  <si>
    <t>Dự toán</t>
  </si>
  <si>
    <t>TỔNG CHI CÂN ĐỐI NSĐP</t>
  </si>
  <si>
    <t>CHI BỔ SUNG CHO NGÂN SÁCH CẤP DƯỚI (1)</t>
  </si>
  <si>
    <t>CHI NGÂN SÁCH CẤP XÃ THEO LĨNH VỰC</t>
  </si>
  <si>
    <t xml:space="preserve">Chi xây dựng cơ bản </t>
  </si>
  <si>
    <t xml:space="preserve">Chi GPMB từ nguồn thu tiền thuê đất </t>
  </si>
  <si>
    <t>Chi từ nguồn bội chi ngân sách địa phương</t>
  </si>
  <si>
    <t>Chi sự nghiệp giáo dục - đào tạo và dạy nghề</t>
  </si>
  <si>
    <t>Chi sự nghiệp y tế, dân số và gia đình</t>
  </si>
  <si>
    <t>Chi sự nghiệp khoa học và công nghệ</t>
  </si>
  <si>
    <t>Chi sự nghiệp phát thanh truyền hình</t>
  </si>
  <si>
    <t>Chi đảm bảo xã hội</t>
  </si>
  <si>
    <t>Sự nghiệp kinh tế</t>
  </si>
  <si>
    <t>Chi quản lý hành chính</t>
  </si>
  <si>
    <t>Chi sự nghiệp bảo vệ môi trường</t>
  </si>
  <si>
    <t>Chi an ninh địa phương</t>
  </si>
  <si>
    <t>Chi quốc phòng địa phương</t>
  </si>
  <si>
    <t>Chi khác của ngân sách</t>
  </si>
  <si>
    <t>Tiết kiệm 10% chi thường xuyên 7 tháng cuối năm và dự toán năm 2024 so với năm 2025</t>
  </si>
  <si>
    <t>Tiết kiệm 10% chi thường xuyên 7 tháng cuối năm và dự toán năm 2024 so với năm 2025 (tỉnh xuống xã)</t>
  </si>
  <si>
    <t>Chi trả nợ lãi các khoản do chính quyền địa phương vay (3)</t>
  </si>
  <si>
    <t>Chi bổ sung quỹ dự trữ tài chính (3)</t>
  </si>
  <si>
    <t>Biểu số 35
Kèm theo Nghị định số 31/2017/NĐ-CP ngày 23/3/2017 của Chính phủ</t>
  </si>
  <si>
    <t>Phụ lục V</t>
  </si>
  <si>
    <t>Tên đơn vị</t>
  </si>
  <si>
    <r>
      <t xml:space="preserve">Chi đầu tư phát triển </t>
    </r>
    <r>
      <rPr>
        <sz val="12"/>
        <color theme="1"/>
        <rFont val="Times New Roman"/>
        <family val="1"/>
      </rPr>
      <t>(Không kể chương trình MTQG từ NSTW)</t>
    </r>
  </si>
  <si>
    <t>Chi thường xuyên (Không kể chương trình MTQG từ ngân sách Trung ương)</t>
  </si>
  <si>
    <t>Trong đó</t>
  </si>
  <si>
    <t>Chi trả nợ lãi do chính quyền địa phương vay (1)</t>
  </si>
  <si>
    <t>Chi bổ sung quỹ dự trữ tài chính (1)</t>
  </si>
  <si>
    <t>Chi dự phòng ngân sách</t>
  </si>
  <si>
    <t xml:space="preserve">Chi chương trình MTQG </t>
  </si>
  <si>
    <t>Chi từ nguồn viện trợ, huy động đóng góp</t>
  </si>
  <si>
    <t>Nguồn ngân sách tỉnh</t>
  </si>
  <si>
    <t>Nguồn bổ sung có mục tiêu từ ngân sách Trung ương</t>
  </si>
  <si>
    <t>Chi thường xuyên (bao gồm nguồn đối ứng của NSĐP)</t>
  </si>
  <si>
    <t>NSTW</t>
  </si>
  <si>
    <t>Đối ứng NSĐP</t>
  </si>
  <si>
    <t>10=11+12</t>
  </si>
  <si>
    <t>TỔNG SỐ</t>
  </si>
  <si>
    <t>CÁC CƠ QUAN, TỔ CHỨC</t>
  </si>
  <si>
    <t>KHỐI QUẢN LÝ NHÀ NƯỚC</t>
  </si>
  <si>
    <t>Văn phòng HĐND&amp;UBND</t>
  </si>
  <si>
    <t>Phòng Kinh tế</t>
  </si>
  <si>
    <t>Phòng Văn hóa - Xã hội</t>
  </si>
  <si>
    <t>Trung tâm phục vụ hành chính công</t>
  </si>
  <si>
    <t>ỦY BAN MẶT TRẬN TỔ QUỐC VIỆT NAM XÃ CAO MINH</t>
  </si>
  <si>
    <t xml:space="preserve">KHỐI ĐẢNG ỦY </t>
  </si>
  <si>
    <t>Văn phòng Đảng ủy</t>
  </si>
  <si>
    <t>Ban xây dựng Đảng</t>
  </si>
  <si>
    <t>Ủy ban Kiểm tra Đảng ủy</t>
  </si>
  <si>
    <t>CÁC ĐƠN VỊ SỰ NGHIỆP</t>
  </si>
  <si>
    <t>Trường MN Cổ Linh</t>
  </si>
  <si>
    <t>Trường MN  Cao Tân</t>
  </si>
  <si>
    <t>Trường MN Công Bằng</t>
  </si>
  <si>
    <t>Trường PT DTBT TH Cổ Linh</t>
  </si>
  <si>
    <t>Trường PT DTBT TH Cao Tân</t>
  </si>
  <si>
    <t>Trường PT DTBT TH Công Bằng</t>
  </si>
  <si>
    <t>Trường PT DTBT THCS Cổ Linh</t>
  </si>
  <si>
    <t>Trường PT DTBT THCS Cao Tân</t>
  </si>
  <si>
    <t>Trường PT DTBT THCS Công Bằng</t>
  </si>
  <si>
    <t>ĐƠN VỊ KHÁC</t>
  </si>
  <si>
    <t>Công an xã</t>
  </si>
  <si>
    <t>CHI TRẢ NỢ LÃI CÁC KHOẢN DO CHÍNH QUYỀN 
ĐỊA PHƯƠNG VAY</t>
  </si>
  <si>
    <t>CHI BỔ SUNG QUỸ DỰ TRỮ TÀI CHÍNH</t>
  </si>
  <si>
    <t>CHI DỰ PHÒNG NGÂN SÁCH</t>
  </si>
  <si>
    <t>CHI TẠO NGUỒN, 
ĐIỀU CHỈNH TIỀN LƯƠNG</t>
  </si>
  <si>
    <t>F</t>
  </si>
  <si>
    <t>CHI BỔ SUNG CÓ MỤC TIÊU CHO NGÂN SÁCH CẤP DƯỚI</t>
  </si>
  <si>
    <t>G</t>
  </si>
  <si>
    <t>KINH PHÍ CHUYỂN NHIỆM VỤ VỀ CẤP XÃ CHƯA 
PHÂN BỔ (*)</t>
  </si>
  <si>
    <t>H</t>
  </si>
  <si>
    <t>CHI TỪ NGUỒN VIỆN TRỢ, HUY ĐỘNG, ĐÓNG GÓP</t>
  </si>
  <si>
    <t>Biểu số 36
Kèm theo Nghị định số 31/2017/NĐ-CP ngày 23/3/2017 của Chính phủ</t>
  </si>
  <si>
    <t>Phụ lục VI</t>
  </si>
  <si>
    <t>Đơn vị: Đồng</t>
  </si>
  <si>
    <t>Chi giao thông</t>
  </si>
  <si>
    <t>Chi nông nghiệp, lâm nghiệp, thủy lợi, thủy sản</t>
  </si>
  <si>
    <t>Biểu số 37
Kèm theo Nghị định số 31/2017/NĐ-CP ngày 23/3/2017 của Chính phủ</t>
  </si>
  <si>
    <t>Phụ lục VII</t>
  </si>
  <si>
    <t>Trừ tiết kiệm 10% chi thường xuyên</t>
  </si>
  <si>
    <t>Tổng cộng</t>
  </si>
  <si>
    <t>Biểu mẫu số 38
Kèm theo Nghị định số 31/2017/NĐ-CP ngày 23/3/2017 của Chính phủ</t>
  </si>
  <si>
    <t>Phụ lục VIII</t>
  </si>
  <si>
    <t>Tên đơn vị (1)</t>
  </si>
  <si>
    <t>Chương trình MTQG xây dựng nông thôn mới</t>
  </si>
  <si>
    <t>Chương trình MTQG giảm nghèo bền vững</t>
  </si>
  <si>
    <t>Chương trình MTQG phát triển KT-XH vùng đồng bào DTTS&amp;MN</t>
  </si>
  <si>
    <t>Đầu tư phát triển</t>
  </si>
  <si>
    <t>Kinh phí sự nghiệp</t>
  </si>
  <si>
    <t>NSĐP</t>
  </si>
  <si>
    <t>1= +3</t>
  </si>
  <si>
    <t>2=5+12</t>
  </si>
  <si>
    <t>3=8+15</t>
  </si>
  <si>
    <t>4=5+8</t>
  </si>
  <si>
    <t>5=6+7</t>
  </si>
  <si>
    <t>8=9+10</t>
  </si>
  <si>
    <t>11=12+15</t>
  </si>
  <si>
    <t>12=13+14</t>
  </si>
  <si>
    <t>15=16+17</t>
  </si>
  <si>
    <t>Kinh phí dư do công trình đã quyết toán và chênh lệch do tỉnh làm tròn số để ngân sách xã</t>
  </si>
  <si>
    <t>Biểu mẫu số 46
Kèm theo Nghị định số 31/2017/NĐ-CP ngày 23/3/2017 của Chính phủ</t>
  </si>
  <si>
    <t>Phụ lục XIII</t>
  </si>
  <si>
    <t>Danh mục dự án</t>
  </si>
  <si>
    <t>Địa điểm xây dựng</t>
  </si>
  <si>
    <t>Mã DA</t>
  </si>
  <si>
    <t>Hiện trạng</t>
  </si>
  <si>
    <t>Thời gian khởi công - hoàn thành</t>
  </si>
  <si>
    <t>Số Quyết định, ngày tháng, năm ban hành</t>
  </si>
  <si>
    <t>Lũy kế vốn đã bố trí</t>
  </si>
  <si>
    <t>Chủ đầu tư/Đơn vị thực hiện</t>
  </si>
  <si>
    <t>Ghi chú</t>
  </si>
  <si>
    <t>Kinh phí chi đến 31/8/2025</t>
  </si>
  <si>
    <t>Kinh phí dư do công trình đã quyết toán</t>
  </si>
  <si>
    <t>Kinh phí còn lại tiếp tục thực hiện</t>
  </si>
  <si>
    <t>Kế hoạch vốn phải phân năm 2025</t>
  </si>
  <si>
    <t>Tổng</t>
  </si>
  <si>
    <t xml:space="preserve">TỔNG CỘNG </t>
  </si>
  <si>
    <t>CT MTQG giảm nghèo bền vững</t>
  </si>
  <si>
    <t>Dự án 1: Hỗ trợ đầu tư phát triển hạ tầng kinh tế - xã hội các huyện nghèo</t>
  </si>
  <si>
    <t>Đã quyết toán</t>
  </si>
  <si>
    <t>Đang thực hiện</t>
  </si>
  <si>
    <t>Chương trình MTQG phát triển KT-XH vùng đồng bào dân tộc thiểu số và miền núi</t>
  </si>
  <si>
    <t xml:space="preserve">Dự án 1- Giải quyết tình trạng thiếu đất ở, nhà ở, đất sản xuất, nước sinh hoạt (Nội dung 1, 2, 3: Hỗ trợ đất ở, nhà ở, đất sản xuất) </t>
  </si>
  <si>
    <t>Tiểu DA1, Dự án 4: Đầu tư cơ sở hạ tầng thiết yếu, phục vụ sản xuất, đời sống vùng ĐB DTTS&amp;MN</t>
  </si>
  <si>
    <t>Chương trình MTQG XD nông thôn mới</t>
  </si>
  <si>
    <t>VỐN SỰ NGHIỆP CHƯƠNG TRÌNH MỤC TIÊU QUỐC GIA NĂM 2025</t>
  </si>
  <si>
    <t>TT</t>
  </si>
  <si>
    <t>Dự toán được sử dụng trong năm</t>
  </si>
  <si>
    <t>KP năm trước chuyển sang</t>
  </si>
  <si>
    <t>KP được giao năm nay</t>
  </si>
  <si>
    <t>Từ nguồn năm trước chuyển sang</t>
  </si>
  <si>
    <t>Từ nguồn được giao trong năm</t>
  </si>
  <si>
    <t>Dự án 1: Hỗ trợ đầu tư phát triển hạ tầng kinh tế - xã hội các huyện nghèo, các xã đặc biệt khó khăn vùng bãi ngang, ven biến và hải đảo</t>
  </si>
  <si>
    <t>+</t>
  </si>
  <si>
    <t>Tiểu dự án 1: Hỗ trợ đầu tư phát triển hạ tầng kinh tế - xã hội các huyện nghèo, xã đặc biệt khó khăn vùng bãi ngang, ven biển và hải đảo</t>
  </si>
  <si>
    <t xml:space="preserve">Dự án 2. Đa dạng hóa sinh kế, phát triển mô hình giảm nghèo </t>
  </si>
  <si>
    <t>Dự án 3.  Hỗ trợ phát triển sản xuất</t>
  </si>
  <si>
    <t>Tiểu dự án 1: Hỗ trợ phát triển sản xuất trong lĩnh vực nông nghiệp</t>
  </si>
  <si>
    <t>Dự án 4.  Phát triển giáo dục nghề nghiệp, việc làm bền vững</t>
  </si>
  <si>
    <t>Tiểu dự án 2. Hỗ trợ người LĐ đi làm việc ở nước ngoài theo hợp đồng</t>
  </si>
  <si>
    <t>Tiểu dự án 3. Hỗ trợ việc làm bền vững</t>
  </si>
  <si>
    <t>Dự án 5: Hỗ trợ nhà ở cho hộ nghèo, hộ cận nghèo trên địa bàn huyện nghèo</t>
  </si>
  <si>
    <t>Dự án 6. Truyền thông và giảm nghèo về thông tin</t>
  </si>
  <si>
    <t>Tiểu dự án 1. Giảm nghèo về thông tin</t>
  </si>
  <si>
    <t>Dự án 7. Nâng cao năng lực và giám sát, đánh giá Chương trình</t>
  </si>
  <si>
    <t>Tiểu dự án 1. Nâng cao năng lực thực hiện Chương trình</t>
  </si>
  <si>
    <t>Tiểu dự án 2. Giám sát, đánh giá</t>
  </si>
  <si>
    <t>Dự án 3: Phát triển sản xuất nông, lâm nghiệp bền vững, phát huy tiềm năng, thế mạnh của các vùng miền để sản xuất hàng hóa theo chuỗi giá trị</t>
  </si>
  <si>
    <t>Tiểu dự án 1: Phát triển kinh tế nông, lâm nghiệp bền vững gắn với bảo vệ rừng và nâng cao thu nhập cho người dân</t>
  </si>
  <si>
    <t>Tiểu dự án 2: Hỗ trợ phát triển sản xuất theo chuỗi giá trị, vùng trồng dược liệu quý, thúc đẩy khởi sự kinh doanh, khởi nghiệp và thu hút đầu tư vùng đồng bào dân tộc thiểu số và miền núi</t>
  </si>
  <si>
    <t>Dự án 4: Đầu tư cơ sở hạ tầng thiết yếu, phục vụ sản xuất, đời sống trong vùng đồng bào dân tộc thiểu số và miền núi và các đơn vị sự nghiệp công lập của lĩnh vực dân tộc</t>
  </si>
  <si>
    <t>Tiểu dự án 1: Đầu tư cơ sở hạ tầng thiết yếu, phục vụ sản xuất, đời sống trong vùng đồng bào dân tộc thiểu số và miền núi</t>
  </si>
  <si>
    <t>Dự án 5: Phát triển giáo dục đào tạo nâng cao chất lượng nguồn nhân lực</t>
  </si>
  <si>
    <t>Tiểu dự án 1: Đổi mới hoạt động, củng cố phát triển các trường phổ thông dân tộc nội trú, trường phổ thông dân tộc bán trú, trường phổ thông có học sinh ở bán trú và xóa mù chữ cho người dân vùng đồng bào dân tộc thiểu số.</t>
  </si>
  <si>
    <t>Trung tâm học tập cộng đồng xã Cao Minh</t>
  </si>
  <si>
    <t>Dự án 6: Bảo tồn, phát huy giá trị văn hóa truyền thống tốt đẹp của các dân tộc thiểu số gắn với phát triển du lịch</t>
  </si>
  <si>
    <t>Dự án 10: Truyền thông, tuyên truyền, vận động trong vùng đồng bào dân tộc thiểu số và miền núi. Kiểm tra, giám sát đánh giá việc tổ chức thực hiện Chương trình</t>
  </si>
  <si>
    <t>Tiểu dự án 3: Kiểm tra, giám sát, đánh giá, đào tạo, tập huấn tổ chức thực hiện Chương trình</t>
  </si>
  <si>
    <t>Nội dung thành phần số 1: Nâng cao hiệu quả quản lý và thực hiện xây dựng nông thôn mới theo quy hoạch</t>
  </si>
  <si>
    <t>Phòng Kinh tế xã Cao Minh</t>
  </si>
  <si>
    <t>Nội dung thành phần số 07: Nâng cao chất lượng môi trường; xây dựng cảnh quan nông thôn sáng - xanh - sạch - đẹp, an toàn; giữ gìn và khôi phục cảnh quan truyền thống của nông thôn Việt Nam</t>
  </si>
  <si>
    <t>Tiếp tục tổ chức triển khai Cuộc vận động “Toàn dân đoàn kết xây dựng NTM, đô thị văn minh”; nâng cao hiệu quả thực hiện công tác giám sát và phản hiện xã hội; tăng cường vận động, phát huy vai trò làm chủ của người dân; nâng cao hiệu quả việc lấy ý kiến sự hài lòng của người dân về kết quả xây dựng NTM.</t>
  </si>
  <si>
    <t>Ủy ban MTTQ Việt Nam xã Cao Minh</t>
  </si>
  <si>
    <t>Nội dung thành phần số 11: Tăng cường công tác giám sát, đánh giá thực hiện Chương trình; nâng cao năng lực xây dựng NTM, truyền thông về xây dựng NTM; thực hiện Phong trào thi đua cả nước chung sức xây dựng NTM</t>
  </si>
  <si>
    <t>BIỂU CHI TIẾT VỐN ĐẦU TƯ CÁC CHƯƠNG TRÌNH NHIỆM VỤ NĂM 2025</t>
  </si>
  <si>
    <t>Chủ ĐT cũ</t>
  </si>
  <si>
    <t>Dự án 1: Hỗ trợ đầu tư phát triển hạ tầng kinh tế - xã hội các huyện nghèo - Huyện làm chủ đầu tư</t>
  </si>
  <si>
    <t>đỏ là BQL</t>
  </si>
  <si>
    <t>Nâng cấp cầu tràn Phiêng Puốc, xã Cao Tân, huyện Pác Nặm MDA: 8110241</t>
  </si>
  <si>
    <t>Ban QLDA ĐTXD huyện</t>
  </si>
  <si>
    <t>dđen là CL</t>
  </si>
  <si>
    <t>Đường Cốc Lải - Ta Đào, xã Cao Tân, huyện Pác Nặm MDA:7977760</t>
  </si>
  <si>
    <t>Xong chưa quyết toán</t>
  </si>
  <si>
    <t>đã xong chưa QT</t>
  </si>
  <si>
    <t>Xanh ngọc là CT</t>
  </si>
  <si>
    <t>Đường Nặm Sai - Khên Lên, xã Công Bằng, huyện Pác Nặm MDA:7977759</t>
  </si>
  <si>
    <t>Xanh lá là CB</t>
  </si>
  <si>
    <t>Trường PTDTBT THCS Cao Tân MDA: 8110244</t>
  </si>
  <si>
    <t>Đường Lủng Vài-Phiêng Muồi (đoạn 2) MDA: 8138068</t>
  </si>
  <si>
    <t>UBND xã Công Bằng</t>
  </si>
  <si>
    <t>Phòng Văn hóa - XH</t>
  </si>
  <si>
    <t>Nội dung 1, 2, 3: Hỗ trợ đất ở, nhà ở, đất sản xuất xã Công Bằng. MDA: 8005007 CB</t>
  </si>
  <si>
    <t>Nội dung 1, 2, 3: Hỗ trợ đất ở, nhà ở, đất sản xuất xã Cao Tân. MDA 8004720 CT</t>
  </si>
  <si>
    <t>UBND xã Cao Tân</t>
  </si>
  <si>
    <t>Nội dung 1, 2, 3: Hỗ trợ đất ở, nhà ở, đất sản xuất xã Cổ Linh MDA:8006679 CL</t>
  </si>
  <si>
    <t>UBND xã Cổ Linh</t>
  </si>
  <si>
    <t>Đường Phja Bây - Phja Sáng MDA: 8070130</t>
  </si>
  <si>
    <t>Đường Cốc Nọt - Thôm Tăng (đoạn 1) MDA: 8113872</t>
  </si>
  <si>
    <t>Mương Nà Mậu-Phiêng Phát MDA: 8082973</t>
  </si>
  <si>
    <t>Nâng cấp đường Mạ Khao-Phiêng Liển MDA:8113869</t>
  </si>
  <si>
    <t>Nâng cấp đường Kéo Mèo -Nặm Đăm MDA: 8113870</t>
  </si>
  <si>
    <t>Đường Nà Quạng-Lủng Pạp (đoạn 3) MDA:8113868</t>
  </si>
  <si>
    <t xml:space="preserve"> Nhà Văn hoá thôn Phiêng Puốc xã Cao Tân MDA:8077877</t>
  </si>
  <si>
    <t>Nâng cấp Đường Nà Chảo - Nà Lại thôn Bản Sáng, xã Cổ Linh, huyện Pác Nặm, tỉnh Bắc Kạn  MDA:8006676</t>
  </si>
  <si>
    <t>Đường từ đập tràn - Nà Nèn  thôn Nặm Nhì, xã Cổ Linh MDA:8006678</t>
  </si>
  <si>
    <t>Nhà văn hóa thôn Khuổi Trà, xã Cổ Linh MDA: 8043468</t>
  </si>
  <si>
    <t>Nâng cấp Đường Cả Chi - Nặm Nhì, thôn Bản Sáng, xã Cổ Linh MDA: 8043467</t>
  </si>
  <si>
    <t>Đường Nà Mặn - Phiêng Muồi MDA: 8114142</t>
  </si>
  <si>
    <t>chưa trả hết công nợ</t>
  </si>
  <si>
    <t>Đường Khuổi Ý - Bản Pjao xã Cao Tân MDA: 8074564</t>
  </si>
  <si>
    <t>Đường Phya Đeng-Khên Lền MDA: 8153222</t>
  </si>
  <si>
    <t>Đổ bê tông đường Lủng Vài-Phiêng Muồi MDA:8135027</t>
  </si>
  <si>
    <t>Nâng cấp đường Nà Lài-Lủng Pạp (đoạn2) MDA:8153223</t>
  </si>
  <si>
    <t>Nâng cấp  đường Nà Lài - Lủng Pạp (đoạn1) MDA: 8077459</t>
  </si>
  <si>
    <t>Nhà Văn Hóa Lủng Nghè MDA: 8087124</t>
  </si>
  <si>
    <t>Nâng cấp Đường Nà Loỏng - Nà Muồi, thôn Bản Nghè, xã Cổ Linh, huyện Pác Nặm, tỉnh Bắc Kạn MDA:8006674</t>
  </si>
  <si>
    <t>Đường Nội thôn Lủng Vài, xã Cổ Linh MDA: 8085076</t>
  </si>
  <si>
    <t>Đường Nà Mặn- Vằng Toòng MDA:8083344</t>
  </si>
  <si>
    <t>Đường Lặp Lỷ- Pác Khoang MDA: 8083345</t>
  </si>
  <si>
    <t>Kinh phí dư do công trình đã quyết toán để ngân sách xã, và tỉnh cấp thừ DT chuyển nguồn</t>
  </si>
  <si>
    <t>Ngân sách địa phương điều hành</t>
  </si>
  <si>
    <t>Nhà thư viện trường PTDTBT THCS Công Bằng và Các hạng mục phụ trợ MDA: 8026250</t>
  </si>
  <si>
    <t>Đảm bảo mặt bằng xây dựng trụ sở Công an xã Cao Tân MDA:8078651</t>
  </si>
  <si>
    <t>KCH kênh mương Nặm Nhì xã Cổ Linh, huyện Pác Nặm, tỉnh Bắc Kạn MDA:7060759</t>
  </si>
  <si>
    <t xml:space="preserve">Nâng cấp các hạng mục phát triển du lịch khu vực Mù Là - Pác Nặm (giai đoạn 1) MDA8085310 </t>
  </si>
  <si>
    <t>Quy hoạch chung xây dựng xã Cao Tân, huyện Pác Nặm, tỉnh Bắc Kạn giai đoạn đến năm 2030 MDA: 8008618</t>
  </si>
  <si>
    <t>Quy hoạch chung xây dựng xã Công Bằng, huyện Pác Nặm, tỉnh Bắc Kạn giai đoạn đến năm 2030 MDA:8008821</t>
  </si>
  <si>
    <t>ĐÁNH GIÁ CÂN ĐỐI NGÂN SÁCH ĐỊA PHƯƠNG NĂM 2025</t>
  </si>
  <si>
    <t>Dự toán năm 2025</t>
  </si>
  <si>
    <t>Ước thực hiện năm 2025</t>
  </si>
  <si>
    <t>ĐÁNH GIÁ THỰC HIỆN THU NGÂN SÁCH NHÀ NƯỚC THEO LĨNH VỰC NĂM 2025</t>
  </si>
  <si>
    <t>ĐÁNH GIÁ THỰC HIỆN CHI NGÂN SÁCH ĐỊA PHƯƠNG THEO CƠ CẤU CHI NĂM 2025</t>
  </si>
  <si>
    <t>DỰ TOÁN CHI NGÂN SÁCH CẤP XÃ THEO LĨNH VỰC NĂM 2026</t>
  </si>
  <si>
    <t>DỰ TOÁN CHI NGÂN SÁCH CẤP XÃ CHO TỪNG CƠ QUAN, TỔ CHỨC THEO LĨNH VỰC NĂM 2026</t>
  </si>
  <si>
    <t>DỰ TOÁN CHI THƯỜNG XUYÊN CỦA NGÂN SÁCH CẤP XÃ CHO TỪNG CƠ QUAN, TỔ CHỨC THEO LĨNH VỰC NĂM 2026</t>
  </si>
  <si>
    <t>DỰ TOÁN CHI CHƯƠNG TRÌNH MỤC TIÊU QUỐC GIA NĂM 2026</t>
  </si>
  <si>
    <t>KẾ HOẠCH TÀI CHÍNH CỦA CÁC QUỸ TÀI CHÍNH NHÀ NƯỚC NGOÀI NGÂN SÁCH DO ĐỊA PHƯƠNG QUẢN LÝ NĂM 2026</t>
  </si>
  <si>
    <t>Dư nguồn đến ngày 31/12/2024</t>
  </si>
  <si>
    <t>Số dư nguồn đến ngày 31/12/ 2025</t>
  </si>
  <si>
    <t>Dự kiến dư nguồn đến ngày 31/12/2026</t>
  </si>
  <si>
    <t>Kế hoạch năm 2026</t>
  </si>
  <si>
    <t>BIỂU PHÂN BỔ CHI TIẾT  KẾ HOẠCH VỐN ĐẦU TƯ PHÁT TRIỂN NGUỒN VỐN CÂN ĐỐI NGÂN SÁCH ĐỊA PHƯƠNG VÀ CÁC CHƯƠNG TRÌNH MỤC TIÊU QUỐC GIA NĂM 2026</t>
  </si>
  <si>
    <t>Nguồn cân đối ngân sách địa phương</t>
  </si>
  <si>
    <t>Kế hoạch vốn giai đoạn 2026-2030</t>
  </si>
  <si>
    <t>Kế hoạch vốn năm 2026</t>
  </si>
  <si>
    <t>Số thực hiện đến 30/11/2025</t>
  </si>
  <si>
    <t>Tỷ lệ</t>
  </si>
  <si>
    <t>Số thực hiện 30/11/2025</t>
  </si>
  <si>
    <t>Đơn vị</t>
  </si>
  <si>
    <t>Tạm ứng</t>
  </si>
  <si>
    <t>Chuyển nguồn</t>
  </si>
  <si>
    <t>Dự toán giao đầu năm và bổ sung trong năm 2025</t>
  </si>
  <si>
    <t>Dự toán thực hiện năm 2025</t>
  </si>
  <si>
    <t xml:space="preserve">Thanh toán </t>
  </si>
  <si>
    <t>Lũy kế  thực hiện đến 30/11/2025</t>
  </si>
  <si>
    <t>Số kinh phí chuyển nguồn</t>
  </si>
  <si>
    <t>Số kinh phí giao đầu năm và bổ sung trong năm 2025</t>
  </si>
  <si>
    <t xml:space="preserve">Tỷ lệ </t>
  </si>
  <si>
    <t>CÂN ĐỐI NGÂN SÁCH ĐỊA PHƯƠNG NĂM 2026</t>
  </si>
  <si>
    <t>Dự toán năm 2026</t>
  </si>
  <si>
    <t>DỰ TOÁN THU NGÂN SÁCH NHÀ NƯỚC THEO LĨNH VỰC NĂM 2026</t>
  </si>
  <si>
    <t>DỰ TOÁN CHI NGÂN SÁCH ĐỊA PHƯƠNG THEO CƠ CẤU CHI NĂM 2026</t>
  </si>
  <si>
    <t>ĐÁNH GIÁ THỰC HIỆN CHI NGÂN SÁCH CẤP XÃ THEO LĨNH VỰC NĂM 2025</t>
  </si>
  <si>
    <t>Biểu mẫu số 45
Kèm theo Nghị định số 31/2017/NĐ-CP ngày 23/3/2017 của Chính phủ</t>
  </si>
  <si>
    <t>Biểu mẫu số 12
Kèm theo Nghị định số 31/2017/NĐ-CP ngày 23/3/2017 của Chính phủ</t>
  </si>
  <si>
    <t>Biểu mẫu số 13
Kèm theo Nghị định số 31/2017/NĐ-CP ngày 23/3/2017 của Chính phủ</t>
  </si>
  <si>
    <t>Biểu mẫu số 14
Kèm theo Nghị định số 31/2017/NĐ-CP ngày 23/3/2017 của Chính phủ</t>
  </si>
  <si>
    <t>Biểu mẫu số 15
Kèm theo Nghị định số 31/2017/NĐ-CP ngày 23/3/2017 của Chính phủ</t>
  </si>
  <si>
    <t>Biểu mẫu số 16
Kèm theo Nghị định số 31/2017/NĐ-CP ngày 23/3/2017 của Chính phủ</t>
  </si>
  <si>
    <t>Biểu mẫu số 17
Kèm theo Nghị định số 31/2017/NĐ-CP ngày 23/3/2017 của Chính phủ</t>
  </si>
  <si>
    <t>Biểu mẫu số 23
Kèm theo Nghị định số 31/2017/NĐ-CP ngày 23/3/2017 của Chính phủ</t>
  </si>
  <si>
    <t>Phụ lục I</t>
  </si>
  <si>
    <t>Phụ lục II</t>
  </si>
  <si>
    <t>Phụ lục III</t>
  </si>
  <si>
    <t>Phụ lục IX</t>
  </si>
  <si>
    <t>Phụ lục XV</t>
  </si>
  <si>
    <t>Phụ lục XVI</t>
  </si>
  <si>
    <t>BIỂU TÌNH HÌNH THỰC HIỆN THANH TOÁN KẾ HOẠCH VỐN ĐẦU TƯ PHÁT TRIỂN NĂM 2025</t>
  </si>
  <si>
    <t>Thuế GTGT</t>
  </si>
  <si>
    <t>Thuế TNDN</t>
  </si>
  <si>
    <t>Thuế Tài nguyên</t>
  </si>
  <si>
    <t>Thuế TTĐB</t>
  </si>
  <si>
    <t>KẾT QUẢ THU NGÂN SÁCH NHÀ NƯỚC TRÊN ĐỊA BÀN  6 THÁNG ĐẦU NĂM 2020</t>
  </si>
  <si>
    <t>Số TT</t>
  </si>
  <si>
    <t>Các khoản  thu</t>
  </si>
  <si>
    <t>So sánh với dự toán (%)</t>
  </si>
  <si>
    <t>Tổng thu (I+II)</t>
  </si>
  <si>
    <t>Thu từ khu vực DNNN do Trung ương quản lý</t>
  </si>
  <si>
    <t xml:space="preserve"> - Thuế GTGT</t>
  </si>
  <si>
    <t>Thu từ khu vực DNNN do địa phương quản lý</t>
  </si>
  <si>
    <t xml:space="preserve"> - Thuế TNDN</t>
  </si>
  <si>
    <t>Thu từ khu vực doanh nghiệp có vốn đầu tư nước ngoài</t>
  </si>
  <si>
    <t>Thu từ khu vực kinh tế ngoài quốc doanh</t>
  </si>
  <si>
    <t xml:space="preserve"> - Thuế tài nguyên</t>
  </si>
  <si>
    <t xml:space="preserve"> - Thuế TTĐB</t>
  </si>
  <si>
    <t>Thuế sử dụng đất phi NN</t>
  </si>
  <si>
    <t>Tiền cho thuê và bán nhà ở thuộc sở hữu nhà nước</t>
  </si>
  <si>
    <t>Thu tiền cấp quyền khai thác khoán sản</t>
  </si>
  <si>
    <t>Thu tại xã</t>
  </si>
  <si>
    <t>Thu hồi vốn, thu cổ tức</t>
  </si>
  <si>
    <t>Lợi nhuận được chia của Nhà nước và lợi nhuận sau thuế còn lại sau khi trích lập các quỹ của doanh nghiệp nhà nước</t>
  </si>
  <si>
    <t>Chênh lệch thu chi Ngân hàng nhà nước</t>
  </si>
  <si>
    <t>NỘI DUNG</t>
  </si>
  <si>
    <t>So sách với DT (%)</t>
  </si>
  <si>
    <t xml:space="preserve"> Bổ sung trong năm</t>
  </si>
  <si>
    <t>6=5/1</t>
  </si>
  <si>
    <t>1</t>
  </si>
  <si>
    <t>Trong đó chi tạm ứng</t>
  </si>
  <si>
    <t>2</t>
  </si>
  <si>
    <t>Chi phát triển khác</t>
  </si>
  <si>
    <t>Kinh phí nguồn thu tiền sử dụng đất năm 2024</t>
  </si>
  <si>
    <t>3</t>
  </si>
  <si>
    <t>4</t>
  </si>
  <si>
    <t>5</t>
  </si>
  <si>
    <t>6</t>
  </si>
  <si>
    <t>7</t>
  </si>
  <si>
    <t>8</t>
  </si>
  <si>
    <t>Chi thể dục, thể thao</t>
  </si>
  <si>
    <t>9</t>
  </si>
  <si>
    <t>10</t>
  </si>
  <si>
    <t>11</t>
  </si>
  <si>
    <t>Chi hoạt động của các cơ quan quản lý nhà nước, đảng, đoàn thể</t>
  </si>
  <si>
    <t>12</t>
  </si>
  <si>
    <t>13</t>
  </si>
  <si>
    <t>Chi nộp ngân sách cấp trên</t>
  </si>
  <si>
    <t>Dự phòng NSNN</t>
  </si>
  <si>
    <t>KẾT QUẢ THU NGÂN SÁCH NHÀ NƯỚC TRÊN ĐỊA BÀN NĂM 2025</t>
  </si>
  <si>
    <t xml:space="preserve">                   ĐVT: Đồng</t>
  </si>
  <si>
    <t xml:space="preserve"> BÁO CÁO TÌNH HÌNH THỰC HIỆN NHIỆM VỤ CHI NGÂN SÁCH HUYỆN PÁC NẶM NĂM 2025</t>
  </si>
  <si>
    <t>Nguồn năm 2024 chuyển sang</t>
  </si>
  <si>
    <t>Dự toán giao đầu năm 2025</t>
  </si>
  <si>
    <t>Kinh phí còn dư năm 2025</t>
  </si>
  <si>
    <t>Vốn đầu tư</t>
  </si>
  <si>
    <t>Vốn sự nghiệp</t>
  </si>
  <si>
    <t>Chương trình MTQG phát triển KT-XH vùng ĐB DTTS&amp;MN</t>
  </si>
  <si>
    <t>Kinh phí đảm bảo an toàn giao thông</t>
  </si>
  <si>
    <t>Kinh phí quản lý, bảo trì đường bộ cho các quỹ bảo trì đường bộ địa phương</t>
  </si>
  <si>
    <t>Kinh phí thực hiện các chính sách an sinh xã hội (Kinh phí hỗ trợ đối tượng bảo trợ xã hội theo Nghị định số 20/2021/NĐ-CP)</t>
  </si>
  <si>
    <t>Kinh phí thực hiện sắp xếp đơn vị hành chính cấp xã theo Nghị quyết số 76/2025/UBTVQH15 ngày 14/4/2025 của Ủy ban Thường vụ Quốc hội tại số 994/QĐ-UBND ngày 30/8/2025 của UBND tỉnh Thái Nguyên</t>
  </si>
  <si>
    <t>Kinh phí trợ cấp lần đầu theo Nghị định số 76/2019/NĐ-CP ngày 08/10/2019 của Chính phủ tại Quyết định số 933/QĐ-UBND ngày 29/8/2025 của UBND tỉnh Thái Nguyên</t>
  </si>
  <si>
    <t>Về việc trích ngân sách tỉnh năm 2025 bổ sung kinh phí cho các cơ quan, đơn vị, địa phương để thực hiện chính sách, chế độ theo Nghị định số 178/2024/NĐ-CP ngày 31/12/2024 và Nghị định số 67/2025/NĐ-CP ngày 15/3/2025 của Chính phủ (đợt 3)</t>
  </si>
  <si>
    <t>Về việc trích ngân sách tỉnh năm 2025 phân bổ kinh phí cho các địa phương để thực hiện tặng quà cho Nhân dân nhân dịp kỷ niệm 80 năm Cách mạng tháng Tám và Quốc khánh 2/9</t>
  </si>
  <si>
    <t>Về việc trích ngân sách tỉnh năm 2025 phân bổ kinh phí cho các cơ quan, đơn vị, địa phương để thực hiện chính sách, chế độ theo Nghị định số 178/2024/NĐ-CP ngày 31/12/2024 và Nghị định số 67/2025/NĐ-CP ngày 15/3/2025 của Chính phủ (đợt 5)</t>
  </si>
  <si>
    <t>Về việc trích ngân sách tỉnh năm 2025 phân bổ kinh phí cho các cơ quan, đơn vị, địa phương để thực hiện chính sách, chế độ theo Nghị định số 178/2024/NĐ-CP ngày 31/12/2024 và Nghị định số 67/2025/NĐ-CP ngày 15/3/2025 của Chính phủ (đợt 6)</t>
  </si>
  <si>
    <t>về việc trích ngân sách tỉnh năm 2025 phân bổ kinh phí cho các cơ quan, đơn vị, địa phương (đợt 7) và bổ sung kinh phí cho các đối tượng đã được phê duyệt để thực hiện chính sách, chế độ theo Nghị định số 178/2024/NĐ-CP ngày 31/12/2024 và Nghị định số 67/2025/NĐ-CP ngày 15/3/2025 của Chính phủ</t>
  </si>
  <si>
    <t>về việc trích dự phòng ngân sách tỉnh năm 2025 phân bổ kinh phí cho các cơ quan, đơn vị, địa phương để thực hiện các nhiệm vụ đã được phê duyệt trước khi sắp xếp đơn vị hành chính
- KP bảo vệ rừng tự nhiên phòng hộ, sản xuất năm 2025</t>
  </si>
  <si>
    <t>Trích ngân sách tỉnh năm 2025 bổ sung kinh phí cho một số đơn vị, địa phương thực hiện tổ chức các hoạt động Tết Trung thu</t>
  </si>
  <si>
    <t>Về việc trích ngân sách tỉnh năm 2025 phân bổ kinh phí đảm bảo cơ sở, vật chất cho các địa phương từ nguồn ngân sách Trung ương khi thực hiện sắp xếp, tinh gọn bộ máy, sắp xếp đơn vị hành chính</t>
  </si>
  <si>
    <t>Về việc trích ngân sách tỉnh năm 2025 phân bổ kinh phí cho các đơn vị, địa phương để khắc phục hậu quả do mưa lũ gây ra (Đợt 2)</t>
  </si>
  <si>
    <t>Về việc trích ngân sách tỉnh năm 2025 phân bổ kinh phí cho các địa phương để thực hiện chính sách, chế độ theo Nghị định số 154/2025/NĐ-CP ngày 15/6/2025 của Chính phủ (Đợt 3)</t>
  </si>
  <si>
    <t>II.1</t>
  </si>
  <si>
    <t>II.2</t>
  </si>
  <si>
    <t>Các công trình nguồn ngân sách địa phương nguồn từ năm trước chuyển sang (cấp huyện và 03 xã cũ chuyển đến)</t>
  </si>
  <si>
    <t>Các nguồn thường xuyên từ năm trước chuyển sang (cấp huyện và 03 xã cũ chuyển đến)</t>
  </si>
  <si>
    <t>DỰ TOÁN CHI ĐẦU TƯ PHÁT TRIỂN CỦA NGÂN SÁCH CẤP XÃ CHO TỪNG CƠ QUAN, TỔ CHỨC THEO LĨNH VỰC NĂM 2026</t>
  </si>
  <si>
    <t>Kinh phí thực hiện trợ cấp lần đầu</t>
  </si>
  <si>
    <t xml:space="preserve">Kinh phí hỗ trợ xóa nhà tạm, nhà dột nát cho hộ nghèo, hộ cận nghèo trên địa bàn </t>
  </si>
  <si>
    <t>Các nguồn chuyển nguồn khác (chưa phân bổ)</t>
  </si>
  <si>
    <t>Kinh phí từ nguồn hỗ trợ</t>
  </si>
  <si>
    <t>Biểu mẫu số 28</t>
  </si>
  <si>
    <t>TÌNH HÌNH THỰC HIỆN KẾ HOẠCH TÀI CHÍNH CÁC QUỸ TÀI CHÍNH NHÀ NƯỚC NGOÀI NGÂN SÁCH DO ĐỊA PHƯƠNG QUẢN LÝ NĂM...</t>
  </si>
  <si>
    <t>(Dùng cho ngân sách các cấp chính quyền địa phương)</t>
  </si>
  <si>
    <t>Đơn vị: Triệu đồng</t>
  </si>
  <si>
    <r>
      <t xml:space="preserve">Số dư nguồn đến ngày 31/12/ … </t>
    </r>
    <r>
      <rPr>
        <sz val="10"/>
        <color rgb="FF000000"/>
        <rFont val="Arial"/>
        <family val="2"/>
      </rPr>
      <t>(năm trước)</t>
    </r>
  </si>
  <si>
    <t>Kế hoạch năm...</t>
  </si>
  <si>
    <t>Ước thực hiện năm...</t>
  </si>
  <si>
    <r>
      <t xml:space="preserve">Số dư nguồn đến 31/12/ … </t>
    </r>
    <r>
      <rPr>
        <sz val="10"/>
        <color rgb="FF000000"/>
        <rFont val="Arial"/>
        <family val="2"/>
      </rPr>
      <t>(năm hiện hành)</t>
    </r>
  </si>
  <si>
    <r>
      <t xml:space="preserve">Trong đó: Hỗ trợ từ NSĐP </t>
    </r>
    <r>
      <rPr>
        <sz val="10"/>
        <color rgb="FF000000"/>
        <rFont val="Arial"/>
        <family val="2"/>
      </rPr>
      <t>(nếu có)</t>
    </r>
  </si>
  <si>
    <t>5=1+2-4</t>
  </si>
  <si>
    <t>9=6-8</t>
  </si>
  <si>
    <t>10= 1+6-8</t>
  </si>
  <si>
    <t>CT MTQG CN</t>
  </si>
  <si>
    <t>GD</t>
  </si>
  <si>
    <t>KT</t>
  </si>
  <si>
    <t>Đơn vị tính</t>
  </si>
  <si>
    <t>Định biên</t>
  </si>
  <si>
    <t>Hệ số lương và các khoản phụ cấp có tính chất lương</t>
  </si>
  <si>
    <t>Định mức</t>
  </si>
  <si>
    <t>Tiết kiệm 10% chi thường xuyên, 40% miễn giảm học phí</t>
  </si>
  <si>
    <t>Giảm trừ tiền điện, nước và dịch vụ internet dùng chung, khen thưởng</t>
  </si>
  <si>
    <t>4=2*3</t>
  </si>
  <si>
    <t>Khối UBND xã</t>
  </si>
  <si>
    <t>Người</t>
  </si>
  <si>
    <t>Tiền lương, phụ cấp biên chế</t>
  </si>
  <si>
    <t>Chi hoạt động thường xuyên theo định mức biên chế</t>
  </si>
  <si>
    <t>Các phụ cấp, bảo hiểm của cán bộ không chuyên trách</t>
  </si>
  <si>
    <t>Lao động hợp đồng theo Nghị định số 111/2022/NĐ-CP</t>
  </si>
  <si>
    <t>Tiền thưởng theo Nghị định 73/2024/NĐ-CP</t>
  </si>
  <si>
    <t>Hưu xã</t>
  </si>
  <si>
    <t>Hoạt động HĐND xã</t>
  </si>
  <si>
    <t>Kinh phí hoạt động HĐND</t>
  </si>
  <si>
    <t>Năm</t>
  </si>
  <si>
    <t>Hoạt động UBND xã</t>
  </si>
  <si>
    <t>Kinh phí nhiệm vụ đặc thù, các chế độ quy định theo phân cấp theo Điểm e1, Khoản 2, Điều 3, Nghị quyết số 27/2025/NQ-HĐND</t>
  </si>
  <si>
    <t>Tiền điện, nước, internet của Khối ủy ban</t>
  </si>
  <si>
    <t>Chi tiết VP HĐND&amp;UBND</t>
  </si>
  <si>
    <t>Tiền lương</t>
  </si>
  <si>
    <t xml:space="preserve"> -</t>
  </si>
  <si>
    <t>Biên chế có mặt đến ngày 01/11/2025</t>
  </si>
  <si>
    <t>Hệ số lương theo ngạch bậc</t>
  </si>
  <si>
    <t>Phụ cấp chức vụ</t>
  </si>
  <si>
    <t>Phụ cấp thâm niên vượt khung</t>
  </si>
  <si>
    <t>Phụ cấp Khu vực</t>
  </si>
  <si>
    <t xml:space="preserve">Phụ cấp trách nhiệm </t>
  </si>
  <si>
    <t>Phụ cấp thu hút 70%</t>
  </si>
  <si>
    <t>Phụ cấp lâu năm</t>
  </si>
  <si>
    <t>Phụ cấp công vụ 25%</t>
  </si>
  <si>
    <t>BHXH, BHYT, BHTN, BHYT (20,5%)</t>
  </si>
  <si>
    <t>Hợp đồng theo NĐ 111</t>
  </si>
  <si>
    <t>Tiền lương, tiền công, quỹ tiền thưởng, các khoản đóng góp theo tiền lương, tiền công và chi hoạt động thường xuyên</t>
  </si>
  <si>
    <t>Chi hoạt động thường xuyên theo định mức</t>
  </si>
  <si>
    <t>Biên chế có mặt</t>
  </si>
  <si>
    <t xml:space="preserve"> +</t>
  </si>
  <si>
    <t xml:space="preserve">Biên chế vắng mặt </t>
  </si>
  <si>
    <t xml:space="preserve">Kinh phí hoạt động đặc thù VP HĐND&amp;UBND </t>
  </si>
  <si>
    <t>Tiền điện, nước, internet dùng chung</t>
  </si>
  <si>
    <t>Tháng</t>
  </si>
  <si>
    <t>3,5 tr của Hội trường; 12 tr của các đv</t>
  </si>
  <si>
    <t>Chi Quốc phòng</t>
  </si>
  <si>
    <t xml:space="preserve"> Phụ cấp dân quân tự vệ</t>
  </si>
  <si>
    <t>trừ 3,7 tr/người</t>
  </si>
  <si>
    <t>Chi huấn luyện, hoạt động</t>
  </si>
  <si>
    <t>Chi An ninh</t>
  </si>
  <si>
    <t>Kinh phí lực lượng bảo vệ ANTT theo NQ số 01/2024/NQ-HĐND tỉnh</t>
  </si>
  <si>
    <t>Những người hoạt động không chuyên trách cấp xã</t>
  </si>
  <si>
    <t>Những người hoạt động KCT cấp thôn</t>
  </si>
  <si>
    <t>Trưởng thôn</t>
  </si>
  <si>
    <t>Thôn đội trưởng</t>
  </si>
  <si>
    <t>Đại hội Hội chữ thập đỏ</t>
  </si>
  <si>
    <t>Quỹ tiền thưởng theo quy định tại Nghị định 73/2024/NĐ-CP</t>
  </si>
  <si>
    <t xml:space="preserve">Phòng Kinh tế </t>
  </si>
  <si>
    <t>Các nhiệm vụ chi khác</t>
  </si>
  <si>
    <t>a</t>
  </si>
  <si>
    <t>Kinh phí hỗ trợ sản xuất trồng lúa theo Nghị định 112/2024 ngày 19/11/2024</t>
  </si>
  <si>
    <t>Kinh phí hỗ trợ sản phẩm, dịch vụ công ích thuỷ lợi</t>
  </si>
  <si>
    <t>Bảo dưỡng thường xuyên các tuyến đường xã</t>
  </si>
  <si>
    <t>Kinh phí hỗ trợ phòng chống thiên tai, dịch bệnh, tìm kiếm cứu nạn</t>
  </si>
  <si>
    <t xml:space="preserve">Kinh phí mua phôi GCN QSD đất </t>
  </si>
  <si>
    <t>Kinh phí hỗ trợ thẩm định giá và công tác đấu thầu</t>
  </si>
  <si>
    <t>b</t>
  </si>
  <si>
    <t>Sự nghiệp môi trường</t>
  </si>
  <si>
    <t>c</t>
  </si>
  <si>
    <t>Kinh phí hỗ trợ tiền điện cho hộ nghèo, hộ chính sách xã hội</t>
  </si>
  <si>
    <t>d</t>
  </si>
  <si>
    <t xml:space="preserve">Kinh phí đảm bảo trật tự an toàn giao thông </t>
  </si>
  <si>
    <t>Chi tiết PKT</t>
  </si>
  <si>
    <t>Hệ số PC trách nhiệm</t>
  </si>
  <si>
    <t xml:space="preserve">Chi hoạt động thường xuyên </t>
  </si>
  <si>
    <t xml:space="preserve">Biên chế có mặt </t>
  </si>
  <si>
    <t xml:space="preserve"> + </t>
  </si>
  <si>
    <t>Cán bộ không chuyên trách + BHXH 17% (người làm công tác nông, lânm nghiệp và thú y)</t>
  </si>
  <si>
    <t>e</t>
  </si>
  <si>
    <t>Phòng Văn hóa - xã hội</t>
  </si>
  <si>
    <t>Chi QLHC, đảng, đoàn thể</t>
  </si>
  <si>
    <t>Chính sách đối với người có uy tín trong đồng bào dân tộc thiểu số theo quyết định số 12/2018/QĐ-TTg và số 18/2023/QĐ-TTg của Thủ tướng Chính Phủ</t>
  </si>
  <si>
    <t>Kinh phí khen thưởng QLHC, đảng, đoàn thể</t>
  </si>
  <si>
    <t>Phụ cấp người phụ trách chuyển đổi số</t>
  </si>
  <si>
    <t>Chi sự nghiệp văn hóa thông tin</t>
  </si>
  <si>
    <t>Phân bổ chi sự nghiệp thể dục thể thao</t>
  </si>
  <si>
    <t>Phân bổ chi sự nghiệp phát thanh truyền hình</t>
  </si>
  <si>
    <t>Chính sách bảo trợ xã hội theo Nghị định số 20/2021/NĐ-CP, Nghị định số 76/2024/NĐ-CP của Chính phủ</t>
  </si>
  <si>
    <t>Kinh phí trợ cấp hưu trí xã hội theo NĐ số 176/2025/NĐ-CP ngày 30/6/2025 của Chính phủ</t>
  </si>
  <si>
    <t>Kinh phí thù lao cho cá nhân trực tiếp chi trả trợ cấp xã hội theo NĐ 20/2021/NĐ-CP</t>
  </si>
  <si>
    <t>Kinh phí đảm bảo xã hội khác (cứu đói, tặng quà các đối tượng bảo trợ…)</t>
  </si>
  <si>
    <t xml:space="preserve"> Kinh phí thực hiện chế độ thăm hỏi động viên các gia đình thuộc diện chính sách, người có công với cách mạng, thân nhân liệt sỹ </t>
  </si>
  <si>
    <t>Kinh phí công tác chăm sóc trẻ em (thăm, tặng quà tết thiếu nhi, tết trung thu, diễn đàn, lễ hội truyền thông…)</t>
  </si>
  <si>
    <t>Kinh phí chúc thọ, mừng thọ</t>
  </si>
  <si>
    <t>f</t>
  </si>
  <si>
    <t>Sự nghiệp giáo dục</t>
  </si>
  <si>
    <t>Kinh phí hỗ trợ theo Nghị định 238/2025/NĐ-CP</t>
  </si>
  <si>
    <t>Kinh phí thực hiện hỗ trợ chi phí học tập đối với sinh viên là người DTTS theo Quyết định số 66/2013/QĐ-TTg</t>
  </si>
  <si>
    <t>Kinh phí khen thưởng giáo dục</t>
  </si>
  <si>
    <t>g</t>
  </si>
  <si>
    <t>Chi ứng dụng khoa học công nghệ</t>
  </si>
  <si>
    <t>Chi ứng dụng khoa học công nghệ chuyển đổi số</t>
  </si>
  <si>
    <t>Chi tiết PVHXH</t>
  </si>
  <si>
    <t>Cán bộ không chuyên trách + BHXH 17%</t>
  </si>
  <si>
    <t>Cán bộ KCT cấp xã (trẻ em, cao tuổi, truyền thanh, khuyến học)</t>
  </si>
  <si>
    <t>Cán bộ KCT cấp thôn (Chi hội Người cao tuổi)</t>
  </si>
  <si>
    <t>Chính sách bảo trợ xã hội theo Nghị định số 20/2021/NĐ-CP</t>
  </si>
  <si>
    <t>Chi trả tiền hỗ trợ đóng học phí cho sinh viên theo Nghị định 81/2021/NĐ-CP</t>
  </si>
  <si>
    <t>Tập huấn chính trị hè</t>
  </si>
  <si>
    <t>Tổ chức hội thi Giáo viên chủ nhiệm giỏi cấp xã, giáo viên làm tổng phụ trách Đội giỏi (cấp phổ thông)</t>
  </si>
  <si>
    <t>Tổ chức hội thi, cuộc thi cho học sinh (thi học sinh giỏi, viết chữ đẹp,…)</t>
  </si>
  <si>
    <t>Các hoạt động khác</t>
  </si>
  <si>
    <t>Máy lấy số xếp hàng tự động</t>
  </si>
  <si>
    <t>Cái</t>
  </si>
  <si>
    <t>Màn hình cảm ứng phục vụ nhân dân tra cứu thông tin, đánh giá mức độ hài lòng của người dân</t>
  </si>
  <si>
    <t>Thiết bị phục vụ số hóa hồ sơ, tài liệu</t>
  </si>
  <si>
    <t>Dịch vụ gửi nhận hồ sơ qua Bưu chính công ích</t>
  </si>
  <si>
    <t>Chi tiết TT HCC</t>
  </si>
  <si>
    <t>Tiền lương,</t>
  </si>
  <si>
    <t xml:space="preserve">  Biên chế có mặt đến ngày 01/11/2025</t>
  </si>
  <si>
    <t>Phụ cấp thâm niên</t>
  </si>
  <si>
    <t>Kinh phí tiền thưởng theo Nghị định 73/2024/NĐ-CP</t>
  </si>
  <si>
    <t>Trang phục cho công chức phục vụ hành chính công</t>
  </si>
  <si>
    <t>chưa có căn cứ thẩm định</t>
  </si>
  <si>
    <t>Chữ ký số HSM</t>
  </si>
  <si>
    <t>thực hiện trong chi tx khác</t>
  </si>
  <si>
    <t>Cài đặt phần mềm diệt virus BKAV</t>
  </si>
  <si>
    <t>Phần mềm</t>
  </si>
  <si>
    <t xml:space="preserve">Phí mạng internet HCC phục vụ cho dân </t>
  </si>
  <si>
    <t>Nước uống phục vụ dân đến làm thủ tục HC</t>
  </si>
  <si>
    <t>Gói cước biên lai điện tử</t>
  </si>
  <si>
    <t>dân nộp vào NS, NS đảm bảo</t>
  </si>
  <si>
    <t>KHỐI ĐẢNG</t>
  </si>
  <si>
    <t>Các loại phụ cấp khác</t>
  </si>
  <si>
    <t>Phụ cấp UV BCH Đảng bộ xã</t>
  </si>
  <si>
    <t>Phụ cấp ủy viên chi bộ</t>
  </si>
  <si>
    <t>Phụ cấp, BHXH Bí thư chi bộ</t>
  </si>
  <si>
    <t>100tr / 23 người</t>
  </si>
  <si>
    <t>Tiền điện, nước, internet của Khối Đảng ủy</t>
  </si>
  <si>
    <t>giảm trừ mỗi người 4,5tr</t>
  </si>
  <si>
    <t>Chi tiết VP Đảng ủy</t>
  </si>
  <si>
    <t>Phụ cấp công tác Đảng (30%)</t>
  </si>
  <si>
    <t>Phụ cấp bồi dưỡng phục vụ hoạt động cấp ủy</t>
  </si>
  <si>
    <t>Phụ cấp chế độ bồi dưỡng công tác văn thư</t>
  </si>
  <si>
    <t>Phụ cấp kiêm nghiệm</t>
  </si>
  <si>
    <t>Chi hoạt động thường xuyên</t>
  </si>
  <si>
    <t>Biên chế được giao</t>
  </si>
  <si>
    <t>Phụ cấp Bí Thư chi bộ</t>
  </si>
  <si>
    <t>BHXH, BHYT cho CBKCC cấp thôn                      ( BTCB) ( 2.340.000 x 17%)</t>
  </si>
  <si>
    <t>Kinh phí hoạt động đặc thù</t>
  </si>
  <si>
    <t>Kinh phí hoạt động theo quy định số 72-QĐ/TU ngày 18/7/2025 của Tỉnh ủy Thái Nguyên</t>
  </si>
  <si>
    <t>Tiền điện, Internet của Khối Đảng ủy</t>
  </si>
  <si>
    <t>Kinh phí làm nhà để xe ô tô phục vụ chung và  xe ô tô, xe máy của cán bộ, công chức của Cơ quan Đảng ủy xã</t>
  </si>
  <si>
    <t xml:space="preserve">Kinh phí thiết bị đảm bảo an toàn thông tin trong cơ quan Đảng ( giải pháp tường lửa) </t>
  </si>
  <si>
    <t>Tiền thưởng theo quy định tại Nghị định 73/2024/NĐ-CP</t>
  </si>
  <si>
    <t>Phụ cấp Ban công tác 35, tổ cộng tác viên 35</t>
  </si>
  <si>
    <t>Khen thưởng đảng cuối năm</t>
  </si>
  <si>
    <t>Chi tiết Ban XD đảng</t>
  </si>
  <si>
    <t>Phụ cấp thâm niên nghề</t>
  </si>
  <si>
    <t>BHXH, BHYT, BHTN, BHYT (21,5%)</t>
  </si>
  <si>
    <t>Phụ cấp báo cáo viên, cộng tác viên dư luận xã hội</t>
  </si>
  <si>
    <t>Kinh phí thực hiện tuyên truyền văn bản cấp trên, tín ngưỡng, tôn giáo, dân vận tại thôn</t>
  </si>
  <si>
    <t>Kinh phí tổ chức Hội nghị bồi dưỡng chuyên đề nâng cao tri thức, phổ cập kỹ năng, nền tảng số xho  cán bộ, đảng viên năm 2026</t>
  </si>
  <si>
    <t xml:space="preserve">Kinh phí Hội nghị báo cáo viên hàng tháng </t>
  </si>
  <si>
    <t>Hội nghị triển khai, quán triệt các văn bản cấp trên</t>
  </si>
  <si>
    <t>Tập huấn nghiệp vụ công tác Đảng</t>
  </si>
  <si>
    <t xml:space="preserve"> Thực hiện công tác cán bộ và phôi in quyết định</t>
  </si>
  <si>
    <t>Khen thưởng cuối năm</t>
  </si>
  <si>
    <t>50 tr lấy ở đảng phí</t>
  </si>
  <si>
    <t>Kinh phí tổ chức hành trình báo công dâng Bác tại khu di tích lịch sử</t>
  </si>
  <si>
    <t>Chi tiết UBKT đảng</t>
  </si>
  <si>
    <t>Kinh phí tổ chức Hội Nghị Quán triệt, triển khai văn bản của cấp trên liên quan đến công tác kiểm tra</t>
  </si>
  <si>
    <t xml:space="preserve">Hội nghị tổng kết năm về công tác kiểm tra, giám sát </t>
  </si>
  <si>
    <t xml:space="preserve">Mua máy quét tài liệu lưu trữ lịch sử </t>
  </si>
  <si>
    <t>KHỐI ĐOÀN THỂ</t>
  </si>
  <si>
    <t xml:space="preserve">Ủy ban Mặt trận Tổ quốc </t>
  </si>
  <si>
    <t>Kinh phí thực hiện cuộc vận động "Toàn dân đoàn kết xây dựng nông thôn mới, đô thị văn minh"</t>
  </si>
  <si>
    <t>Ủy ban Mặt trận Tổ quốc Việt Nam cấp xã</t>
  </si>
  <si>
    <t>Ban công tác Mặt trận khu dân cư</t>
  </si>
  <si>
    <t>KDC</t>
  </si>
  <si>
    <t>Kinh phí hoạt động các UB MTTQ và các tổ chức chính trị - xã hội ở cấp xã</t>
  </si>
  <si>
    <t xml:space="preserve">UB Mặt trận Tổ quốc </t>
  </si>
  <si>
    <t>Hội Liên hiệp phụ nữ</t>
  </si>
  <si>
    <t>Hội Nông dân</t>
  </si>
  <si>
    <t>Hội Cựu Chiến binh</t>
  </si>
  <si>
    <t>Đoàn Thanh niên cộng sản Hồ Chí Minh</t>
  </si>
  <si>
    <t>Hỗ trợ thêm cho các tổ chức chính trị xã hội</t>
  </si>
  <si>
    <t>Chi hội</t>
  </si>
  <si>
    <t xml:space="preserve">Mặt trận Tổ quốc </t>
  </si>
  <si>
    <t>Kinh phí hoạt động của Ban Thanh tra nhân dân cấp xã</t>
  </si>
  <si>
    <t>Ban</t>
  </si>
  <si>
    <t>Kinh phí Ban giám sát đầu tư cộng đồng</t>
  </si>
  <si>
    <t>Chi tiết Đoàn thể</t>
  </si>
  <si>
    <t xml:space="preserve">Các phụ cấp, bảo hiểm của cán bộ không chuyên trách </t>
  </si>
  <si>
    <t>Phụ cấp phó chủ tịch Hội Liên hiệp phụ nữ xã</t>
  </si>
  <si>
    <t>Phụ cấp phó chủ tịch hội nông dân</t>
  </si>
  <si>
    <t>Phụ cấp phó Bí thư Đoàn Thanh Niên</t>
  </si>
  <si>
    <t>BHXH cho cán bộ không chuyên trách ở cấp xã  (17%)</t>
  </si>
  <si>
    <t xml:space="preserve">Phụ cấp trưởng ban công tác Mặt trận thôn </t>
  </si>
  <si>
    <t>Chi hội trưởng Hội phụ nữ</t>
  </si>
  <si>
    <t>Chi hội trưởng hội nông dân</t>
  </si>
  <si>
    <t>Chi hội trưởng hội Cựu  chiến binh</t>
  </si>
  <si>
    <t>Bí thư chi đoàn Thanh niên CS HCM</t>
  </si>
  <si>
    <t>BHXH, BHYT cho cán bộ không chuyên trách ở cấp thôn ( TBCTMT)</t>
  </si>
  <si>
    <t>Đối với Ủy ban Mặt trận Tổ quốc Việt Nam cấp xã</t>
  </si>
  <si>
    <t>Đối với Ban công tác Mặt trận khu dân cư</t>
  </si>
  <si>
    <t>Các nhiệm vụ chi hoạt động khác của các bộ phận</t>
  </si>
  <si>
    <t>Tiền thưởng theo theo quy định tại Nghị định 73/2024/NĐ-CP</t>
  </si>
  <si>
    <t>ĐƠN VỊ SỰ NGHIỆP</t>
  </si>
  <si>
    <t>Bậc Mầm non</t>
  </si>
  <si>
    <t>1.1</t>
  </si>
  <si>
    <t>Trường mầm non Cổ Linh</t>
  </si>
  <si>
    <t>Chi hoạt động thường xuyên theo biên chế</t>
  </si>
  <si>
    <t>80/20</t>
  </si>
  <si>
    <t>Bổ sung kinh phí hoạt động cho các trường có điểm trường lẻ</t>
  </si>
  <si>
    <t>Điểm trường</t>
  </si>
  <si>
    <t>Kinh phí thực hiện chế độ chính sách</t>
  </si>
  <si>
    <t>Chính sách phát triển giáo dục mầm non TT 105</t>
  </si>
  <si>
    <t>Hỗ trợ tổ chức nấu ăn cho trẻ mầm non theo Nghị quyết số 16/2025/NQ-HĐND</t>
  </si>
  <si>
    <t>Kinh phí hỗ trợ học sinh khuyết tật theo Thông tư 42/2013</t>
  </si>
  <si>
    <t>Hỗ trợ chi phí học tập</t>
  </si>
  <si>
    <t>Miễn giảm học phí</t>
  </si>
  <si>
    <t xml:space="preserve">Kinh phí hỗ trợ giáo viên dạy học sinh khuyết tật theo NĐ 28 </t>
  </si>
  <si>
    <t>Kinh phí hỗ trợ học sinh và trường PTDTBT theo Nghị định số 66/2025/NĐ-CP</t>
  </si>
  <si>
    <t>Chi tiết MN CL</t>
  </si>
  <si>
    <t>Phụ cấp ưu đãi</t>
  </si>
  <si>
    <t>20% chiến sĩ thi đua</t>
  </si>
  <si>
    <t>Tiền thưởng NĐ 73</t>
  </si>
  <si>
    <t>KP bổ sung ngoài định mức chi TX</t>
  </si>
  <si>
    <t>Bổ sung kinh phí cho các trường có điểm trường lẻ</t>
  </si>
  <si>
    <t>1.2</t>
  </si>
  <si>
    <t>Trường mầm non Cao Tân</t>
  </si>
  <si>
    <t xml:space="preserve">Tiền lương, phụ cấp, chi hoạt động biên chế chưa tuyển </t>
  </si>
  <si>
    <t>nguồn 12</t>
  </si>
  <si>
    <t>Chi tiết MN CT</t>
  </si>
  <si>
    <t>Tiền lương, tiền công</t>
  </si>
  <si>
    <t>1.3</t>
  </si>
  <si>
    <t>Trường mầm non Công Bằng</t>
  </si>
  <si>
    <t>Chính sách hỗ trợ phổ cập giáo dục mầm non cho trẻ từ 3 đến 5 tuổi theo NĐ 277/2025/NĐ-CP</t>
  </si>
  <si>
    <t>Chi tiết MN CB</t>
  </si>
  <si>
    <t>Bậc Tiểu học</t>
  </si>
  <si>
    <t>2.1</t>
  </si>
  <si>
    <t>Trường PTDTBT Tiểu học Cổ Linh</t>
  </si>
  <si>
    <t>81/19</t>
  </si>
  <si>
    <t>Bổ sung kinh phí trường bán trú</t>
  </si>
  <si>
    <t>Trường</t>
  </si>
  <si>
    <t>Kinh phí hỗ trợ học sinh khuyết tật theo Thông tư 42/2013/TTLT-BGDĐT-BLĐTBXH-BTC</t>
  </si>
  <si>
    <t>Kinh phí hỗ trợ giáo viên dạy học sinh khuyết tật theo NĐ 28/2012/NĐ-CP</t>
  </si>
  <si>
    <t>Kinh phí hỗ trợ dạy và học tiếng anh theo NQ số 20/2025/NQ-HĐND</t>
  </si>
  <si>
    <t>Kinh phí hỗ trợ việc dạy và học Tiếng Việt cho trẻ dân tộc thiểu số trước khi vào lớp 1 theo Nghị quyết số 12/2025/NQ-HĐND</t>
  </si>
  <si>
    <t>Chi tiết TH CL</t>
  </si>
  <si>
    <t>Phụ cấp độc hại</t>
  </si>
  <si>
    <t>Phụ cấp lớp ghép</t>
  </si>
  <si>
    <t>BS kinh phí trường bán trú</t>
  </si>
  <si>
    <t>Kinh phí hỗ trợ thực hiện việc dạy và học Tiếng Việt cho trẻ em là người dân tộc thiểu số trước khi vào lớp 1 theo Nghị quyết số 12/2025/NQ-HĐND</t>
  </si>
  <si>
    <t>2.2</t>
  </si>
  <si>
    <t>Trường PTDTBT Tiểu học Cao Tân</t>
  </si>
  <si>
    <t>Chi tiết TH CT</t>
  </si>
  <si>
    <t>2.3</t>
  </si>
  <si>
    <t>Trường PTDTBT Tiểu học Công Bằng</t>
  </si>
  <si>
    <t>Chi tiết TH CB</t>
  </si>
  <si>
    <t>thu cô hồ về</t>
  </si>
  <si>
    <t>Bậc Trung học cơ sở</t>
  </si>
  <si>
    <t>3.1</t>
  </si>
  <si>
    <t>Trường PTDTBT THCS Cổ Linh</t>
  </si>
  <si>
    <t>Chi tiết THCS CL</t>
  </si>
  <si>
    <t>3.2</t>
  </si>
  <si>
    <t>Trường PTDTBT THCS Cao Tân</t>
  </si>
  <si>
    <t>Chi tiết THCS CT</t>
  </si>
  <si>
    <t>3.3</t>
  </si>
  <si>
    <t>Trường PTDTBT THCS Công Bằng</t>
  </si>
  <si>
    <t>Chi tiết THCS CB</t>
  </si>
  <si>
    <t>Trung tâm học tập cộng đồng</t>
  </si>
  <si>
    <t>Phụ cấp và kinh phí hoạt động thường xuyên</t>
  </si>
  <si>
    <t>Kinh phí thực hiện xây dựng xã hội học tập theo Nghị quyết số 19/2022/NQ-HĐND của HĐND tỉnh (Chi các lớp xóa mù chữ)</t>
  </si>
  <si>
    <t>Kinh phí đảm bảo an ninh trật tự và các nhiệm vụ khác theo dự trù của đơn vị</t>
  </si>
  <si>
    <t>Chi tiết Công an xã</t>
  </si>
  <si>
    <t>Kinh phí công tác thẩm tra tiêu chuẩn chính trị nội bộ</t>
  </si>
  <si>
    <t>Kinh phí phục vụ tiếp xúc người có uy tín trong đồng bào DTTS (theo chỉ thị số 06/2008/CTY-TT ngày 01/2/2008)</t>
  </si>
  <si>
    <t>Kinh phí hỗ trợ thực hiện đề án tuyên truyền, đấu tranh, xoá bỏ tổ chức bất hợp pháp Dương Văn Mình</t>
  </si>
  <si>
    <t>Kinh phí tuyên truyền phổ biến giáo dục pháp luật lồng ghép phát động phong trào toàn dân bảo vệ an ninh tổ quốc (33 thôn)</t>
  </si>
  <si>
    <t>Kinh phí hỗ trợ lực lượng Công an xã  thực hiện công tác tuần tra đêm</t>
  </si>
  <si>
    <t>Kinh phí hỗ trợ lực lượng an ninh trật tự cơ sở  thực hiện công tác tuần tra đêm</t>
  </si>
  <si>
    <t>Kinh phí mua nhiên liệu phục vụ công tác tuần tra đêm</t>
  </si>
  <si>
    <t>Kinh phí xây dựng xã không ma túy (mua que test Ma tuý 4 chân phục vụ xét nghiệm ma tuý + tuyên truyền, đưa đi xét nghiệm, xác minh...)</t>
  </si>
  <si>
    <t xml:space="preserve">Kinh phí tổ chức các hoạt động kỷ niệm ngày toàn dân bảo vệ an ninh tổ quốc </t>
  </si>
  <si>
    <t>Kinh phí thực hiện đề án 06</t>
  </si>
  <si>
    <t>Kinh phí tập huấn phòng cháy chữa cháy</t>
  </si>
  <si>
    <t>Kinh phí phục vụ công tác điều tra phòng chống tội phạm</t>
  </si>
  <si>
    <t>Kinh phí sơ kết, tổng kết các nhiệm vụ, kinh phí cho đại biểu không lương</t>
  </si>
  <si>
    <t>DỰ TOÁN CHI TIẾT NGÂN SÁCH CÁC ĐƠN VỊ DỰ TOÁN, ĐƠN VỊ SỰ NGHIỆP NĂM 2026</t>
  </si>
  <si>
    <t>DỰ TOÁN CHI NGÂN SÁCH XÃ NĂM 2025 SAU ĐIỀU CHỈNH</t>
  </si>
  <si>
    <t>Kế hoạch  tỉnh giao</t>
  </si>
  <si>
    <t>Dự toán chưa phân bổ xã điều hành</t>
  </si>
  <si>
    <t>TỔNG CỘNG (A+B)</t>
  </si>
  <si>
    <t>CÂN ĐỐI NGÂN SÁCH</t>
  </si>
  <si>
    <t>Chi sự nghiệp kinh tế</t>
  </si>
  <si>
    <t>Kinh phí hỗ trợ sản phẩm, dịch vụ công ích thủy lợi</t>
  </si>
  <si>
    <t>Kinh phí hỗ trợ sản xuất trồng lúa theo Nghị định 112/2024/NĐ-CP ngày 19/11/2024</t>
  </si>
  <si>
    <t>II.3</t>
  </si>
  <si>
    <t>Chi QL hành chính, Đảng, Đoàn thể</t>
  </si>
  <si>
    <t>Quản lý HC, Đảng, Đoàn thể (Chế độ tiền lương và hoạt động thường xuyên)</t>
  </si>
  <si>
    <t>Chính sách đối với người có uy tín trong đồng bào dân tộc thiểu số</t>
  </si>
  <si>
    <t>II.4</t>
  </si>
  <si>
    <t>Chi sự nghiệp giáo dục &amp; ĐT, Dạy nghề</t>
  </si>
  <si>
    <t xml:space="preserve">Sự nghiệp giáo dục (Chế độ tiền lương và hoạt động thường xuyên) </t>
  </si>
  <si>
    <t>Chính sách phát triển giáo dục mầm non theo Nghị định 105/2020/NĐ-CP</t>
  </si>
  <si>
    <t>Kinh phí hỗ trợ học sinh khuyết tật theo Thông tư liên tịch số 42/2013/TTLT-BGDĐT-BLĐTBXH-BTC</t>
  </si>
  <si>
    <t>Kinh phí hỗ trợ học sinh theo Nghị định số 66/2025/NĐ-CP</t>
  </si>
  <si>
    <t>Hỗ trợ chi phí học tập và miễn giảm học phí Nghị định số 238/2025/NĐ-CP</t>
  </si>
  <si>
    <t xml:space="preserve">Kinh phí hỗ trợ giáo viên dạy học sinh khuyết tật theo Nghị định số 28 </t>
  </si>
  <si>
    <t>Kinh phí hỗ trợ tổ chúc nấu ăn đối với CS giáo dục mầm non theo Nghị quyết số 16/2025/NQ-HĐND ngày 29/8/2025</t>
  </si>
  <si>
    <t>Kinh phí hỗ trợ dạy tiếng anh theo Nghị quyết số 20/2025/NQ-HĐND ngày 29/8/2025</t>
  </si>
  <si>
    <t>Kinh phí thực hiện xây dựng xã hội học tập theo Nghị quyết số 19/2022/NQ-HĐND của HĐND tỉnh</t>
  </si>
  <si>
    <t>II.5</t>
  </si>
  <si>
    <t>Chi sự nghiệp văn hóa thông tin, thể dục thể thao, phát thanh truyền hình</t>
  </si>
  <si>
    <t>Sự nghiệp văn hóa thông tin</t>
  </si>
  <si>
    <t>Sự nghiệp thể dục thể thao</t>
  </si>
  <si>
    <t>Sự nghiệp phát thanh truyền hình</t>
  </si>
  <si>
    <t>II.6</t>
  </si>
  <si>
    <t>Kinh phí phụ cấp hàng tháng đối với cán bộ hưu xã già yếu đã nghỉ việc theo NĐ số 75/2024/NĐ-CP và HD theo TT 08/2024/TT-BNV của Bộ Nội vụ</t>
  </si>
  <si>
    <t>Kinh phí thực hiện chế độ thăm hỏi động viên các gia đình thuộc diện chính sách, người có công với cách mạng, thân nhân liệt sỹ</t>
  </si>
  <si>
    <t>Kinh phí trợ cấp hưu trí xã hội theo Nghị định số 176/2025/NĐ-CP ngày 30/6/2025 của Chính phủ</t>
  </si>
  <si>
    <t>chính sách, chế độ ưu đãi người có công với cách mạng (Nguồn TW)</t>
  </si>
  <si>
    <t>Kinh phí Chúc thọ mừng thọ</t>
  </si>
  <si>
    <t>II.7</t>
  </si>
  <si>
    <t>Chi an ninh</t>
  </si>
  <si>
    <t>II.8</t>
  </si>
  <si>
    <t>II.9</t>
  </si>
  <si>
    <t>II.10</t>
  </si>
  <si>
    <t>II.11</t>
  </si>
  <si>
    <t>BỔ SUNG CÓ MỤC TIÊU</t>
  </si>
  <si>
    <t>Chương trình, nhiệm vụ - Nguồn ngân sách Trung ương bổ sung vốn sự nghiệp</t>
  </si>
  <si>
    <t>I.1</t>
  </si>
  <si>
    <t>Nguồn ngân sách Trung ương</t>
  </si>
  <si>
    <t>I.2</t>
  </si>
  <si>
    <t>Nguồn ngân sách Tỉnh</t>
  </si>
  <si>
    <t>Chương trình mục tiêu quốc gia</t>
  </si>
  <si>
    <t>Nguồn ngân sách Tỉnh đối ứng</t>
  </si>
  <si>
    <t>ĐVT: Đồng</t>
  </si>
  <si>
    <t>Nội dung/Đơn vị</t>
  </si>
  <si>
    <t>Dự toán giao</t>
  </si>
  <si>
    <t xml:space="preserve">Kinh phí thực hiện </t>
  </si>
  <si>
    <t>CHI TIẾT THEO ĐƠN VỊ</t>
  </si>
  <si>
    <t>Trường PTDTBT TH Cổ Linh</t>
  </si>
  <si>
    <t>Trường PTDTBT TH Cao Tân</t>
  </si>
  <si>
    <t>Trường PTDTBT TH Công Bằng</t>
  </si>
  <si>
    <t>CHI TIẾT THEO CHÍNH SÁCH</t>
  </si>
  <si>
    <t>IV.1</t>
  </si>
  <si>
    <t>IV.2</t>
  </si>
  <si>
    <t>Kinh phí hỗ trợ giáo viên dạy học sinh khuyết tật theo Nghị định số 28/2012/NĐ-CP</t>
  </si>
  <si>
    <t>VII</t>
  </si>
  <si>
    <t>VIII</t>
  </si>
  <si>
    <t>IX</t>
  </si>
  <si>
    <t>Phụ lục XX</t>
  </si>
  <si>
    <t>Kế hoạch xã giao</t>
  </si>
  <si>
    <t>Các đơn vị</t>
  </si>
  <si>
    <t>Kinh phí phân bổ</t>
  </si>
  <si>
    <t>Chi đầu tư từ nguồn vốn XDCB tập trung</t>
  </si>
  <si>
    <t xml:space="preserve">Chi đầu tư từ nguồn thu tiền sử dụng đất </t>
  </si>
  <si>
    <t>Chi đầu tư từ nguồn thu tiền sử dụng đất cho các công trình, dự án, nhiệm vụ cấp xã</t>
  </si>
  <si>
    <t>Tiết kiệm 5% chi đầu tư theo Nghị quyết số 245/2025/QH15 của Quốc hội</t>
  </si>
  <si>
    <t>Chi sự nghiệp hể dục thể thao</t>
  </si>
  <si>
    <t>Chi sự nghiệp văn hoá, thông tin</t>
  </si>
  <si>
    <t>KP của biên chế Vắng mặt</t>
  </si>
  <si>
    <t>Người hoạt động không chuyên trách ở xã, thôn; người trực tiếp tham gia công việc của xóm, tổ dân phố</t>
  </si>
  <si>
    <t>Thực hiện đến 30/11/2025</t>
  </si>
  <si>
    <t>Kết quả thực hiện đến 30/11/2025</t>
  </si>
  <si>
    <t>Kinh phí thực hiện chính sách, chế độ ưu đãi người có công với cách mạng</t>
  </si>
  <si>
    <t>Kinh phí hỗ trợ địa phương sản xuất lúa</t>
  </si>
  <si>
    <t>III.1</t>
  </si>
  <si>
    <t>Kinh phí tiền lương, phụ cấp và chi thường xuyên khác biên chế vắng mặt và hợp đồng</t>
  </si>
  <si>
    <t>Kinh phí tiền lương, phụ cấp và chi thường xuyên khác biên chế vắng mặt</t>
  </si>
  <si>
    <t xml:space="preserve">Kinh phí cho lực lượng an ninh cơ sở </t>
  </si>
  <si>
    <t xml:space="preserve">Chi phụ cấp cho các chức danh làm công tác quân sự địa phương, dân quân tự vệ ở cấp xã </t>
  </si>
  <si>
    <t>Kinh phí thực hiện Nghị định 72/2020/NĐ-CP</t>
  </si>
  <si>
    <t>cđ</t>
  </si>
  <si>
    <t>bs cmt</t>
  </si>
  <si>
    <t xml:space="preserve">Các nhiệm vụ chi khác (tập huấn, tổ chức hội nghị, hội thi ngành giáo dục…) </t>
  </si>
  <si>
    <t>tỷ lệ</t>
  </si>
  <si>
    <t>(Kèm theo Báo cáo số:   449  /BC-UBND ngày   30 /11/2025 của UBND xã Cao Minh)</t>
  </si>
  <si>
    <t>Chi 30/11</t>
  </si>
  <si>
    <t>Nội dung thành phần số 09: Nâng cao chất lượng, phát huy vai trò của mặt trận tổ quốc Việt Nam và các tổ chức chính trị xã hội trong xây dựng nông thôn mới</t>
  </si>
  <si>
    <t>Quỹ Chữ thập đỏ</t>
  </si>
  <si>
    <t>Quỹ Người cao tuổi</t>
  </si>
  <si>
    <t>Quỹ phong trào</t>
  </si>
  <si>
    <t>Quỹ khuyến học</t>
  </si>
  <si>
    <t>Quỹ bảo trợ trẻ em</t>
  </si>
  <si>
    <t>Quỹ đền ơn đáp nghĩa</t>
  </si>
  <si>
    <t>Quỹ chất độc màu gia cam</t>
  </si>
  <si>
    <t>Quỹ Vì người nghèo</t>
  </si>
  <si>
    <t>Quỹ cứu trợ</t>
  </si>
  <si>
    <t>2.4</t>
  </si>
  <si>
    <t>2.5</t>
  </si>
  <si>
    <t>2.6</t>
  </si>
  <si>
    <t>DỰ TOÁN CHI NGÂN SÁCH XÃ NĂM 2026</t>
  </si>
  <si>
    <t>Dự toán năm 2026 (Làm tròn)</t>
  </si>
  <si>
    <t>BIỂU KINH PHÍ THỰC HIỆN CÁC CHẾ ĐỘ CHÍNH SÁCH NĂM 2026</t>
  </si>
  <si>
    <t>Kinh phí thực hiện nhiệm vụ chung của cơ quan tổng hợp, Ban chỉ đạo các chương trình MTQG</t>
  </si>
  <si>
    <t>Các nhiệm vụ phát sinh đột xuất trong năm</t>
  </si>
  <si>
    <t>Phụ cấp ĐB HĐND (tháng 01 đến hết tháng 3)</t>
  </si>
  <si>
    <t>Phụ cấp ĐB HĐND (tháng 4 đến hết tháng 12)</t>
  </si>
  <si>
    <t>Tiền lương + chi khác Hợp đồng (cô Diệu)</t>
  </si>
  <si>
    <t>8=(4-5-6-7)</t>
  </si>
  <si>
    <t xml:space="preserve">Giảm trừ 60% tiền miễn giảm học phí </t>
  </si>
  <si>
    <t>Ghi chú:</t>
  </si>
  <si>
    <t>- Kinh phí giảm trừ tiền điện, nước dùng chung của Văn phòng Đảng ủy xã: 4.500.000 đồng / người / năm</t>
  </si>
  <si>
    <t>- Kinh phí giảm trừ tiền điện, nước dùng chung của khối UBND xã: 3.700.000 đồng / người / năm.</t>
  </si>
  <si>
    <t>- Kinh phí giảm trừ trích sang quỹ thi đua khen thưởng: Tính dự toán: 01 tập thể, 01 chiến sỹ thi đua cơ sở, còn lại đạt danh hiệu lao động tiên tiến (đối với các đơn vị quản lý hành chính);  
01 tập thể, 20% chiến sỹ thi đua cơ sở, còn lại đạt danh hiệu lao động tiên tiến (đối với các đơn vị trường học)</t>
  </si>
  <si>
    <t>trừ ô mẫn nghỉ việc</t>
  </si>
  <si>
    <t>Tiền lương, tiền công, các khoản đóng góp</t>
  </si>
  <si>
    <t>Trích 40% miễn giảm học phí sang cải cách tiền lương xã quản lý</t>
  </si>
  <si>
    <r>
      <t xml:space="preserve">Trong đó: Hỗ trợ từ NSĐP </t>
    </r>
    <r>
      <rPr>
        <sz val="12"/>
        <color rgb="FF000000"/>
        <rFont val="Times New Roman"/>
        <family val="1"/>
      </rPr>
      <t>(nếu có)</t>
    </r>
  </si>
  <si>
    <t>Trích 40% kinh phí miễn giảm học phí sang nguồn CCTL cấp xã quản lý</t>
  </si>
  <si>
    <t>Kinh phí chi phí học tập và 60% miễn giảm học phí phân bổ đơn vị</t>
  </si>
  <si>
    <t>(Kèm theo Nghị quyết số: 33 /NQ-HĐND ngày  19/12/2025 của HĐND xã Cao Minh)</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</si>
</sst>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3" formatCode="_(* #,##0.00_);_(* \(#,##0.00\);_(* &quot;-&quot;??_);_(@_)"/>
    <numFmt numFmtId="164" formatCode="###\ ###\ ###"/>
    <numFmt numFmtId="165" formatCode="###,###,###,###"/>
    <numFmt numFmtId="166" formatCode="#,##0.0"/>
    <numFmt numFmtId="167" formatCode="###\ ###\ ###\ ###"/>
    <numFmt numFmtId="168" formatCode="###,###,###"/>
    <numFmt numFmtId="169" formatCode="_(* #,##0_);_(* \(#,##0\);_(* &quot;-&quot;??_);_(@_)"/>
    <numFmt numFmtId="170" formatCode="0.0"/>
    <numFmt numFmtId="171" formatCode="&quot;Tháng&quot;\ 00"/>
    <numFmt numFmtId="172" formatCode="&quot;Ngày &quot;dd&quot;  tháng &quot;mm&quot; năm&quot;\ yyyy"/>
    <numFmt numFmtId="173" formatCode="_(* #,##0.0_);_(* \(#,##0.0\);_(* &quot;-&quot;??_);_(@_)"/>
    <numFmt numFmtId="174" formatCode="#,###;[Red]\-#,###"/>
    <numFmt numFmtId="175" formatCode="#,###.00;[Red]\-#,###.00"/>
    <numFmt numFmtId="176" formatCode="_(* #,##0.000_);_(* \(#,##0.000\);_(* &quot;-&quot;??_);_(@_)"/>
    <numFmt numFmtId="177" formatCode="#,##0.000"/>
    <numFmt numFmtId="178" formatCode="_(* #,##0.0000_);_(* \(#,##0.0000\);_(* &quot;-&quot;??_);_(@_)"/>
    <numFmt numFmtId="179" formatCode="#,###.000;[Red]\-#,###.000"/>
    <numFmt numFmtId="180" formatCode="#,##0.00000"/>
  </numFmts>
  <fonts count="107" x14ac:knownFonts="1">
    <font>
      <sz val="11"/>
      <color theme="1"/>
      <name val="Calibri"/>
      <family val="2"/>
      <scheme val="minor"/>
    </font>
    <font>
      <sz val="12"/>
      <color theme="1"/>
      <name val="Times New Roman"/>
      <family val="2"/>
    </font>
    <font>
      <sz val="11"/>
      <color theme="1"/>
      <name val="Calibri"/>
      <family val="2"/>
      <scheme val="minor"/>
    </font>
    <font>
      <i/>
      <sz val="12"/>
      <color rgb="FF000000"/>
      <name val="Times New Roman"/>
      <family val="1"/>
    </font>
    <font>
      <i/>
      <sz val="8"/>
      <name val="Times New Roman"/>
      <family val="1"/>
    </font>
    <font>
      <b/>
      <sz val="13"/>
      <color rgb="FF000000"/>
      <name val="Times New Roman"/>
      <family val="1"/>
    </font>
    <font>
      <i/>
      <sz val="13"/>
      <name val="Times New Roman"/>
      <family val="1"/>
    </font>
    <font>
      <i/>
      <sz val="13"/>
      <color rgb="FF000000"/>
      <name val="Times New Roman"/>
      <family val="1"/>
    </font>
    <font>
      <b/>
      <sz val="13"/>
      <name val="Times New Roman"/>
      <family val="1"/>
    </font>
    <font>
      <sz val="13"/>
      <name val="Times New Roman"/>
      <family val="1"/>
    </font>
    <font>
      <b/>
      <sz val="12"/>
      <color rgb="FF000000"/>
      <name val="Times New Roman"/>
      <family val="1"/>
    </font>
    <font>
      <sz val="12"/>
      <color rgb="FF000000"/>
      <name val="Times New Roman"/>
      <family val="1"/>
    </font>
    <font>
      <b/>
      <sz val="12"/>
      <color theme="1"/>
      <name val="Times New Roman"/>
      <family val="1"/>
    </font>
    <font>
      <i/>
      <sz val="9"/>
      <color theme="1"/>
      <name val="Times New Roman"/>
      <family val="1"/>
    </font>
    <font>
      <sz val="12"/>
      <color theme="1"/>
      <name val="Times New Roman"/>
      <family val="1"/>
    </font>
    <font>
      <b/>
      <sz val="13"/>
      <color theme="1"/>
      <name val="Times New Roman"/>
      <family val="1"/>
    </font>
    <font>
      <sz val="13"/>
      <color theme="1"/>
      <name val="Times New Roman"/>
      <family val="1"/>
    </font>
    <font>
      <i/>
      <sz val="13"/>
      <color theme="1"/>
      <name val="Times New Roman"/>
      <family val="1"/>
    </font>
    <font>
      <i/>
      <sz val="12"/>
      <color theme="1"/>
      <name val="Times New Roman"/>
      <family val="1"/>
    </font>
    <font>
      <b/>
      <i/>
      <sz val="12"/>
      <color theme="1"/>
      <name val="Times New Roman"/>
      <family val="1"/>
    </font>
    <font>
      <sz val="12"/>
      <name val="Times New Roman"/>
      <family val="1"/>
    </font>
    <font>
      <i/>
      <sz val="14"/>
      <color theme="1"/>
      <name val="Times New Roman"/>
      <family val="1"/>
    </font>
    <font>
      <sz val="10"/>
      <color rgb="FF000000"/>
      <name val=".VnArial"/>
      <family val="2"/>
    </font>
    <font>
      <b/>
      <sz val="14"/>
      <color theme="1"/>
      <name val="Times New Roman"/>
      <family val="1"/>
    </font>
    <font>
      <sz val="14"/>
      <color theme="1"/>
      <name val="Times New Roman"/>
      <family val="1"/>
    </font>
    <font>
      <sz val="12"/>
      <name val=".VnArial"/>
      <family val="2"/>
    </font>
    <font>
      <sz val="11"/>
      <color theme="1"/>
      <name val="Calibri Light"/>
      <family val="1"/>
      <scheme val="major"/>
    </font>
    <font>
      <i/>
      <sz val="10"/>
      <color rgb="FF000000"/>
      <name val="Calibri Light"/>
      <family val="1"/>
      <scheme val="major"/>
    </font>
    <font>
      <b/>
      <sz val="11"/>
      <color theme="1"/>
      <name val="Calibri Light"/>
      <family val="1"/>
      <scheme val="major"/>
    </font>
    <font>
      <b/>
      <sz val="11"/>
      <color rgb="FF000000"/>
      <name val="Calibri Light"/>
      <family val="1"/>
      <scheme val="major"/>
    </font>
    <font>
      <i/>
      <sz val="11"/>
      <color rgb="FF000000"/>
      <name val="Calibri Light"/>
      <family val="1"/>
      <scheme val="major"/>
    </font>
    <font>
      <i/>
      <sz val="11"/>
      <color theme="1"/>
      <name val="Calibri Light"/>
      <family val="1"/>
      <scheme val="major"/>
    </font>
    <font>
      <sz val="11"/>
      <color rgb="FF000000"/>
      <name val="Calibri Light"/>
      <family val="1"/>
      <scheme val="major"/>
    </font>
    <font>
      <sz val="10"/>
      <color rgb="FF000000"/>
      <name val="Calibri Light"/>
      <family val="1"/>
      <scheme val="major"/>
    </font>
    <font>
      <b/>
      <sz val="12"/>
      <name val="Times New Roman"/>
      <family val="1"/>
    </font>
    <font>
      <b/>
      <sz val="10"/>
      <color rgb="FF000000"/>
      <name val="Calibri Light"/>
      <family val="1"/>
      <scheme val="major"/>
    </font>
    <font>
      <b/>
      <sz val="12"/>
      <color theme="1"/>
      <name val="Calibri Light"/>
      <family val="1"/>
      <scheme val="major"/>
    </font>
    <font>
      <b/>
      <sz val="12"/>
      <color rgb="FF000000"/>
      <name val="Calibri Light"/>
      <family val="1"/>
      <scheme val="major"/>
    </font>
    <font>
      <i/>
      <sz val="12"/>
      <color rgb="FF000000"/>
      <name val="Calibri Light"/>
      <family val="1"/>
      <scheme val="major"/>
    </font>
    <font>
      <b/>
      <sz val="8"/>
      <color rgb="FF000000"/>
      <name val="Calibri Light"/>
      <family val="1"/>
      <scheme val="major"/>
    </font>
    <font>
      <i/>
      <sz val="8"/>
      <color rgb="FF000000"/>
      <name val="Calibri Light"/>
      <family val="1"/>
      <scheme val="major"/>
    </font>
    <font>
      <sz val="8"/>
      <color rgb="FF000000"/>
      <name val="Calibri Light"/>
      <family val="1"/>
      <scheme val="major"/>
    </font>
    <font>
      <sz val="11"/>
      <name val="Calibri Light"/>
      <family val="1"/>
      <scheme val="major"/>
    </font>
    <font>
      <i/>
      <sz val="11"/>
      <name val="Calibri Light"/>
      <family val="1"/>
      <scheme val="major"/>
    </font>
    <font>
      <b/>
      <sz val="11"/>
      <name val="Calibri Light"/>
      <family val="1"/>
      <scheme val="major"/>
    </font>
    <font>
      <b/>
      <i/>
      <sz val="10"/>
      <name val="Calibri Light"/>
      <family val="1"/>
      <scheme val="major"/>
    </font>
    <font>
      <b/>
      <sz val="10"/>
      <name val="Calibri Light"/>
      <family val="1"/>
      <scheme val="major"/>
    </font>
    <font>
      <i/>
      <sz val="10"/>
      <name val="Calibri Light"/>
      <family val="1"/>
      <scheme val="major"/>
    </font>
    <font>
      <b/>
      <sz val="8"/>
      <name val="Calibri Light"/>
      <family val="1"/>
      <scheme val="major"/>
    </font>
    <font>
      <i/>
      <sz val="8"/>
      <name val="Calibri Light"/>
      <family val="1"/>
      <scheme val="major"/>
    </font>
    <font>
      <i/>
      <sz val="8"/>
      <name val="Arial Narrow"/>
      <family val="2"/>
    </font>
    <font>
      <b/>
      <sz val="8"/>
      <name val="Arial Narrow"/>
      <family val="2"/>
    </font>
    <font>
      <sz val="8"/>
      <name val="Calibri Light"/>
      <family val="1"/>
      <scheme val="major"/>
    </font>
    <font>
      <sz val="8"/>
      <name val="Arial Narrow"/>
      <family val="2"/>
    </font>
    <font>
      <b/>
      <sz val="9"/>
      <color indexed="81"/>
      <name val="Segoe UI"/>
      <family val="2"/>
    </font>
    <font>
      <sz val="9"/>
      <color indexed="81"/>
      <name val="Segoe UI"/>
      <family val="2"/>
    </font>
    <font>
      <i/>
      <sz val="12"/>
      <name val="Times New Roman"/>
      <family val="1"/>
    </font>
    <font>
      <sz val="8"/>
      <name val="Times New Roman"/>
      <family val="1"/>
    </font>
    <font>
      <b/>
      <sz val="8"/>
      <name val="Times New Roman"/>
      <family val="1"/>
    </font>
    <font>
      <b/>
      <i/>
      <sz val="10"/>
      <color rgb="FF000000"/>
      <name val="Calibri Light"/>
      <family val="1"/>
      <scheme val="major"/>
    </font>
    <font>
      <b/>
      <sz val="10"/>
      <name val="Times New Roman"/>
      <family val="1"/>
    </font>
    <font>
      <sz val="10"/>
      <name val="Times New Roman"/>
      <family val="1"/>
    </font>
    <font>
      <i/>
      <sz val="10"/>
      <name val="Times New Roman"/>
      <family val="1"/>
    </font>
    <font>
      <sz val="10"/>
      <name val="Arial"/>
      <family val="2"/>
    </font>
    <font>
      <sz val="10"/>
      <name val=".VnTime"/>
      <family val="2"/>
    </font>
    <font>
      <sz val="11"/>
      <color indexed="8"/>
      <name val="Calibri"/>
      <family val="2"/>
    </font>
    <font>
      <b/>
      <sz val="14"/>
      <name val="Times New Roman"/>
      <family val="1"/>
    </font>
    <font>
      <sz val="12"/>
      <name val=".VnTime"/>
      <family val="2"/>
    </font>
    <font>
      <sz val="12"/>
      <color indexed="10"/>
      <name val="Times New Roman"/>
      <family val="1"/>
    </font>
    <font>
      <sz val="14"/>
      <name val="Times New Roman"/>
      <family val="1"/>
    </font>
    <font>
      <b/>
      <u/>
      <sz val="12"/>
      <name val="Times New Roman"/>
      <family val="1"/>
    </font>
    <font>
      <sz val="12"/>
      <color indexed="9"/>
      <name val="Times New Roman"/>
      <family val="1"/>
    </font>
    <font>
      <i/>
      <u/>
      <sz val="12"/>
      <color indexed="9"/>
      <name val="Times New Roman"/>
      <family val="1"/>
    </font>
    <font>
      <i/>
      <sz val="12"/>
      <color indexed="9"/>
      <name val="Times New Roman"/>
      <family val="1"/>
    </font>
    <font>
      <b/>
      <sz val="12"/>
      <color indexed="9"/>
      <name val="Times New Roman"/>
      <family val="1"/>
    </font>
    <font>
      <b/>
      <sz val="12"/>
      <color theme="0"/>
      <name val="Times New Roman"/>
      <family val="1"/>
    </font>
    <font>
      <b/>
      <sz val="11"/>
      <name val="Times New Roman"/>
      <family val="1"/>
    </font>
    <font>
      <sz val="11"/>
      <name val="Times New Roman"/>
      <family val="1"/>
    </font>
    <font>
      <i/>
      <sz val="11"/>
      <name val="Times New Roman"/>
      <family val="1"/>
    </font>
    <font>
      <sz val="14"/>
      <color theme="1"/>
      <name val="Times New Roman"/>
      <family val="2"/>
    </font>
    <font>
      <b/>
      <sz val="10"/>
      <color rgb="FF000000"/>
      <name val="Arial"/>
      <family val="2"/>
    </font>
    <font>
      <i/>
      <sz val="10"/>
      <color rgb="FF000000"/>
      <name val="Arial"/>
      <family val="2"/>
    </font>
    <font>
      <sz val="10"/>
      <color rgb="FF000000"/>
      <name val="Arial"/>
      <family val="2"/>
    </font>
    <font>
      <sz val="12"/>
      <name val=".VnArial Narrow"/>
      <family val="2"/>
    </font>
    <font>
      <sz val="11"/>
      <name val=".VnArial Narrow"/>
      <family val="2"/>
    </font>
    <font>
      <b/>
      <i/>
      <sz val="11"/>
      <name val="Times New Roman"/>
      <family val="1"/>
    </font>
    <font>
      <sz val="11"/>
      <name val="Times New Roman"/>
      <family val="1"/>
      <charset val="163"/>
    </font>
    <font>
      <sz val="11"/>
      <name val="Calibri"/>
      <family val="2"/>
      <scheme val="minor"/>
    </font>
    <font>
      <i/>
      <sz val="11"/>
      <name val="Calibri"/>
      <family val="2"/>
      <scheme val="minor"/>
    </font>
    <font>
      <sz val="9"/>
      <name val="Times New Roman"/>
      <family val="1"/>
    </font>
    <font>
      <b/>
      <sz val="12"/>
      <name val="Calibri Light"/>
      <family val="1"/>
      <scheme val="major"/>
    </font>
    <font>
      <sz val="12"/>
      <name val="Calibri"/>
      <family val="2"/>
      <scheme val="minor"/>
    </font>
    <font>
      <b/>
      <sz val="10"/>
      <name val="Arial Narrow"/>
      <family val="2"/>
    </font>
    <font>
      <sz val="10"/>
      <name val="Arial Narrow"/>
      <family val="2"/>
    </font>
    <font>
      <i/>
      <sz val="10"/>
      <name val="Arial Narrow"/>
      <family val="2"/>
    </font>
    <font>
      <sz val="12"/>
      <name val="Calibri Light"/>
      <family val="1"/>
      <scheme val="major"/>
    </font>
    <font>
      <b/>
      <sz val="11"/>
      <name val="times new roman"/>
      <family val="2"/>
      <charset val="163"/>
    </font>
    <font>
      <sz val="11"/>
      <name val="times new roman"/>
      <family val="2"/>
      <charset val="163"/>
    </font>
    <font>
      <sz val="8"/>
      <name val="times new roman"/>
      <family val="2"/>
      <charset val="163"/>
    </font>
    <font>
      <sz val="11"/>
      <color theme="1"/>
      <name val="Times New Roman"/>
      <family val="1"/>
    </font>
    <font>
      <b/>
      <sz val="10"/>
      <color rgb="FF000000"/>
      <name val="Times New Roman"/>
      <family val="1"/>
    </font>
    <font>
      <i/>
      <sz val="10"/>
      <color rgb="FF000000"/>
      <name val="Times New Roman"/>
      <family val="1"/>
    </font>
    <font>
      <i/>
      <sz val="11"/>
      <color theme="1"/>
      <name val="Times New Roman"/>
      <family val="1"/>
    </font>
    <font>
      <sz val="10"/>
      <color rgb="FF000000"/>
      <name val="Times New Roman"/>
      <family val="1"/>
    </font>
    <font>
      <b/>
      <sz val="11"/>
      <color theme="1"/>
      <name val="Times New Roman"/>
      <family val="1"/>
    </font>
    <font>
      <b/>
      <i/>
      <sz val="10"/>
      <color rgb="FF000000"/>
      <name val="Times New Roman"/>
      <family val="1"/>
    </font>
    <font>
      <b/>
      <i/>
      <sz val="11"/>
      <color theme="1"/>
      <name val="Times New Roman"/>
      <family val="1"/>
    </font>
  </fonts>
  <fills count="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59999389629810485"/>
        <bgColor indexed="64"/>
      </patternFill>
    </fill>
  </fills>
  <borders count="2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top/>
      <bottom/>
      <diagonal/>
    </border>
    <border>
      <left style="thin">
        <color auto="1"/>
      </left>
      <right style="thin">
        <color auto="1"/>
      </right>
      <top style="hair">
        <color auto="1"/>
      </top>
      <bottom style="hair">
        <color auto="1"/>
      </bottom>
      <diagonal/>
    </border>
  </borders>
  <cellStyleXfs count="21">
    <xf numFmtId="0" fontId="0" fillId="0" borderId="0"/>
    <xf numFmtId="43" fontId="2" fillId="0" borderId="0" applyFont="0" applyFill="0" applyBorder="0" applyAlignment="0" applyProtection="0"/>
    <xf numFmtId="9" fontId="2" fillId="0" borderId="0" applyFont="0" applyFill="0" applyBorder="0" applyAlignment="0" applyProtection="0"/>
    <xf numFmtId="0" fontId="20" fillId="0" borderId="0"/>
    <xf numFmtId="0" fontId="22" fillId="0" borderId="0"/>
    <xf numFmtId="0" fontId="25" fillId="0" borderId="0"/>
    <xf numFmtId="0" fontId="64" fillId="0" borderId="0" applyNumberFormat="0" applyFill="0" applyBorder="0" applyAlignment="0" applyProtection="0"/>
    <xf numFmtId="0" fontId="65" fillId="0" borderId="0"/>
    <xf numFmtId="0" fontId="1" fillId="0" borderId="0"/>
    <xf numFmtId="0" fontId="2" fillId="0" borderId="0"/>
    <xf numFmtId="0" fontId="2" fillId="0" borderId="0"/>
    <xf numFmtId="0" fontId="20" fillId="0" borderId="0"/>
    <xf numFmtId="0" fontId="67" fillId="0" borderId="0"/>
    <xf numFmtId="43" fontId="69" fillId="0" borderId="0" applyFont="0" applyFill="0" applyBorder="0" applyAlignment="0" applyProtection="0"/>
    <xf numFmtId="0" fontId="63" fillId="0" borderId="0"/>
    <xf numFmtId="9" fontId="79" fillId="0" borderId="0" applyFont="0" applyFill="0" applyBorder="0" applyAlignment="0" applyProtection="0"/>
    <xf numFmtId="43" fontId="63" fillId="0" borderId="0" applyFont="0" applyFill="0" applyBorder="0" applyAlignment="0" applyProtection="0"/>
    <xf numFmtId="0" fontId="83" fillId="0" borderId="0"/>
    <xf numFmtId="0" fontId="84" fillId="0" borderId="0"/>
    <xf numFmtId="0" fontId="63" fillId="0" borderId="0"/>
    <xf numFmtId="43" fontId="63" fillId="0" borderId="0" applyFont="0" applyFill="0" applyBorder="0" applyAlignment="0" applyProtection="0"/>
  </cellStyleXfs>
  <cellXfs count="950">
    <xf numFmtId="0" fontId="0" fillId="0" borderId="0" xfId="0"/>
    <xf numFmtId="0" fontId="4" fillId="2" borderId="0" xfId="0" applyFont="1" applyFill="1" applyAlignment="1">
      <alignment horizontal="center" vertical="center" wrapText="1"/>
    </xf>
    <xf numFmtId="0" fontId="6" fillId="2" borderId="0" xfId="0" applyFont="1" applyFill="1" applyAlignment="1">
      <alignment vertical="center" wrapText="1"/>
    </xf>
    <xf numFmtId="0" fontId="8" fillId="2" borderId="3" xfId="0" applyFont="1" applyFill="1" applyBorder="1" applyAlignment="1">
      <alignment horizontal="center" vertical="center"/>
    </xf>
    <xf numFmtId="0" fontId="8" fillId="2" borderId="3" xfId="0" applyFont="1" applyFill="1" applyBorder="1" applyAlignment="1">
      <alignment horizontal="left" vertical="center" wrapText="1"/>
    </xf>
    <xf numFmtId="0" fontId="9" fillId="2" borderId="3" xfId="0" applyFont="1" applyFill="1" applyBorder="1" applyAlignment="1">
      <alignment horizontal="center" vertical="center"/>
    </xf>
    <xf numFmtId="164" fontId="9" fillId="2" borderId="3" xfId="0" applyNumberFormat="1" applyFont="1" applyFill="1" applyBorder="1" applyAlignment="1">
      <alignment horizontal="left" vertical="center" wrapText="1"/>
    </xf>
    <xf numFmtId="164" fontId="9" fillId="2" borderId="3" xfId="0" applyNumberFormat="1" applyFont="1" applyFill="1" applyBorder="1" applyAlignment="1">
      <alignment vertical="center" wrapText="1"/>
    </xf>
    <xf numFmtId="0" fontId="12" fillId="0" borderId="0" xfId="0" applyFont="1" applyAlignment="1">
      <alignment horizontal="right" vertical="center"/>
    </xf>
    <xf numFmtId="0" fontId="14" fillId="0" borderId="0" xfId="0" applyFont="1"/>
    <xf numFmtId="0" fontId="16" fillId="0" borderId="0" xfId="0" applyFont="1"/>
    <xf numFmtId="0" fontId="17" fillId="0" borderId="0" xfId="0" applyFont="1" applyAlignment="1">
      <alignment horizontal="right" vertical="center"/>
    </xf>
    <xf numFmtId="4" fontId="16" fillId="0" borderId="0" xfId="0" applyNumberFormat="1" applyFont="1"/>
    <xf numFmtId="0" fontId="12" fillId="0" borderId="3" xfId="0" applyFont="1" applyBorder="1" applyAlignment="1">
      <alignment horizontal="center" vertical="center" wrapText="1"/>
    </xf>
    <xf numFmtId="3" fontId="14" fillId="0" borderId="0" xfId="0" applyNumberFormat="1" applyFont="1"/>
    <xf numFmtId="0" fontId="18" fillId="0" borderId="3" xfId="0" applyFont="1" applyBorder="1" applyAlignment="1">
      <alignment horizontal="center" vertical="center" wrapText="1"/>
    </xf>
    <xf numFmtId="3" fontId="18" fillId="0" borderId="0" xfId="0" applyNumberFormat="1" applyFont="1"/>
    <xf numFmtId="0" fontId="18" fillId="0" borderId="0" xfId="0" applyFont="1"/>
    <xf numFmtId="0" fontId="12" fillId="2" borderId="3" xfId="0" applyFont="1" applyFill="1" applyBorder="1" applyAlignment="1">
      <alignment horizontal="center" vertical="center" wrapText="1"/>
    </xf>
    <xf numFmtId="3" fontId="12" fillId="0" borderId="3" xfId="0" applyNumberFormat="1" applyFont="1" applyBorder="1" applyAlignment="1">
      <alignment horizontal="right" vertical="center" wrapText="1"/>
    </xf>
    <xf numFmtId="3" fontId="12" fillId="2" borderId="3" xfId="0" applyNumberFormat="1" applyFont="1" applyFill="1" applyBorder="1" applyAlignment="1">
      <alignment horizontal="right" vertical="center" wrapText="1"/>
    </xf>
    <xf numFmtId="3" fontId="12" fillId="2" borderId="0" xfId="0" applyNumberFormat="1" applyFont="1" applyFill="1"/>
    <xf numFmtId="0" fontId="12" fillId="2" borderId="0" xfId="0" applyFont="1" applyFill="1"/>
    <xf numFmtId="3" fontId="12" fillId="2" borderId="3" xfId="0" applyNumberFormat="1" applyFont="1" applyFill="1" applyBorder="1" applyAlignment="1">
      <alignment horizontal="center" vertical="center" wrapText="1"/>
    </xf>
    <xf numFmtId="0" fontId="12" fillId="2" borderId="3" xfId="0" applyFont="1" applyFill="1" applyBorder="1" applyAlignment="1">
      <alignment horizontal="left" vertical="center" wrapText="1"/>
    </xf>
    <xf numFmtId="3" fontId="12" fillId="2" borderId="3" xfId="1" applyNumberFormat="1" applyFont="1" applyFill="1" applyBorder="1" applyAlignment="1">
      <alignment horizontal="right" vertical="center" wrapText="1"/>
    </xf>
    <xf numFmtId="3" fontId="12" fillId="0" borderId="3" xfId="0" applyNumberFormat="1" applyFont="1" applyBorder="1" applyAlignment="1">
      <alignment horizontal="center" vertical="center" wrapText="1"/>
    </xf>
    <xf numFmtId="0" fontId="12" fillId="0" borderId="3" xfId="0" applyFont="1" applyBorder="1" applyAlignment="1">
      <alignment horizontal="left" vertical="center" wrapText="1"/>
    </xf>
    <xf numFmtId="3" fontId="12" fillId="0" borderId="3" xfId="1" applyNumberFormat="1" applyFont="1" applyBorder="1" applyAlignment="1">
      <alignment horizontal="right" vertical="center" wrapText="1"/>
    </xf>
    <xf numFmtId="165" fontId="12" fillId="0" borderId="0" xfId="0" applyNumberFormat="1" applyFont="1"/>
    <xf numFmtId="3" fontId="12" fillId="0" borderId="0" xfId="0" applyNumberFormat="1" applyFont="1"/>
    <xf numFmtId="0" fontId="12" fillId="0" borderId="0" xfId="0" applyFont="1"/>
    <xf numFmtId="3" fontId="14" fillId="0" borderId="3" xfId="0" applyNumberFormat="1" applyFont="1" applyBorder="1" applyAlignment="1">
      <alignment horizontal="center" vertical="center" wrapText="1"/>
    </xf>
    <xf numFmtId="0" fontId="14" fillId="0" borderId="3" xfId="0" applyFont="1" applyBorder="1" applyAlignment="1">
      <alignment horizontal="left" vertical="center" wrapText="1"/>
    </xf>
    <xf numFmtId="3" fontId="14" fillId="0" borderId="3" xfId="0" applyNumberFormat="1" applyFont="1" applyBorder="1" applyAlignment="1">
      <alignment horizontal="right" vertical="center" wrapText="1"/>
    </xf>
    <xf numFmtId="3" fontId="14" fillId="0" borderId="3" xfId="1" applyNumberFormat="1" applyFont="1" applyBorder="1" applyAlignment="1">
      <alignment horizontal="right" vertical="center" wrapText="1"/>
    </xf>
    <xf numFmtId="43" fontId="14" fillId="0" borderId="0" xfId="1" applyFont="1"/>
    <xf numFmtId="3" fontId="12" fillId="0" borderId="3" xfId="0" applyNumberFormat="1" applyFont="1" applyBorder="1" applyAlignment="1">
      <alignment horizontal="justify" vertical="center"/>
    </xf>
    <xf numFmtId="3" fontId="18" fillId="0" borderId="3" xfId="0" applyNumberFormat="1" applyFont="1" applyBorder="1" applyAlignment="1">
      <alignment horizontal="right" vertical="center" wrapText="1"/>
    </xf>
    <xf numFmtId="0" fontId="14" fillId="0" borderId="3" xfId="0" applyFont="1" applyBorder="1" applyAlignment="1">
      <alignment horizontal="justify" vertical="center" wrapText="1"/>
    </xf>
    <xf numFmtId="166" fontId="12" fillId="0" borderId="3" xfId="0" applyNumberFormat="1" applyFont="1" applyBorder="1" applyAlignment="1">
      <alignment horizontal="center" vertical="center" wrapText="1"/>
    </xf>
    <xf numFmtId="166" fontId="12" fillId="0" borderId="3" xfId="0" applyNumberFormat="1" applyFont="1" applyBorder="1" applyAlignment="1">
      <alignment horizontal="left" vertical="center" wrapText="1"/>
    </xf>
    <xf numFmtId="166" fontId="12" fillId="0" borderId="0" xfId="0" applyNumberFormat="1" applyFont="1"/>
    <xf numFmtId="0" fontId="14" fillId="0" borderId="0" xfId="3" applyFont="1"/>
    <xf numFmtId="3" fontId="21" fillId="0" borderId="0" xfId="3" applyNumberFormat="1" applyFont="1" applyAlignment="1">
      <alignment vertical="center" wrapText="1"/>
    </xf>
    <xf numFmtId="0" fontId="23" fillId="0" borderId="0" xfId="4" applyFont="1"/>
    <xf numFmtId="0" fontId="24" fillId="0" borderId="0" xfId="3" applyFont="1" applyAlignment="1">
      <alignment horizontal="center" vertical="center"/>
    </xf>
    <xf numFmtId="0" fontId="24" fillId="0" borderId="0" xfId="4" applyFont="1" applyAlignment="1">
      <alignment horizontal="left" vertical="center"/>
    </xf>
    <xf numFmtId="0" fontId="24" fillId="0" borderId="0" xfId="4" applyFont="1"/>
    <xf numFmtId="0" fontId="24" fillId="0" borderId="0" xfId="5" applyFont="1" applyAlignment="1">
      <alignment wrapText="1"/>
    </xf>
    <xf numFmtId="0" fontId="24" fillId="0" borderId="0" xfId="3" applyFont="1"/>
    <xf numFmtId="0" fontId="24" fillId="0" borderId="0" xfId="3" applyFont="1" applyAlignment="1">
      <alignment vertical="center" wrapText="1"/>
    </xf>
    <xf numFmtId="0" fontId="26" fillId="0" borderId="0" xfId="0" applyFont="1"/>
    <xf numFmtId="0" fontId="29"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1" fillId="0" borderId="0" xfId="0" applyFont="1"/>
    <xf numFmtId="0" fontId="29" fillId="0" borderId="3" xfId="0" applyFont="1" applyBorder="1" applyAlignment="1">
      <alignment vertical="center" wrapText="1"/>
    </xf>
    <xf numFmtId="3" fontId="29" fillId="0" borderId="3" xfId="0" applyNumberFormat="1" applyFont="1" applyBorder="1" applyAlignment="1">
      <alignment vertical="center" wrapText="1"/>
    </xf>
    <xf numFmtId="0" fontId="32" fillId="0" borderId="3" xfId="0" applyFont="1" applyBorder="1" applyAlignment="1">
      <alignment horizontal="center" vertical="center" wrapText="1"/>
    </xf>
    <xf numFmtId="0" fontId="32" fillId="0" borderId="3" xfId="0" applyFont="1" applyBorder="1" applyAlignment="1">
      <alignment vertical="center" wrapText="1"/>
    </xf>
    <xf numFmtId="3" fontId="32" fillId="0" borderId="3" xfId="0" applyNumberFormat="1" applyFont="1" applyBorder="1" applyAlignment="1">
      <alignment vertical="center" wrapText="1"/>
    </xf>
    <xf numFmtId="0" fontId="33" fillId="0" borderId="0" xfId="0" applyFont="1" applyAlignment="1">
      <alignment vertical="center"/>
    </xf>
    <xf numFmtId="0" fontId="10" fillId="0" borderId="0" xfId="0" applyFont="1" applyAlignment="1">
      <alignment horizontal="right" vertical="center"/>
    </xf>
    <xf numFmtId="167" fontId="16" fillId="0" borderId="0" xfId="0" applyNumberFormat="1" applyFont="1"/>
    <xf numFmtId="168" fontId="16" fillId="0" borderId="0" xfId="0" applyNumberFormat="1" applyFont="1"/>
    <xf numFmtId="167" fontId="18" fillId="0" borderId="3" xfId="0" applyNumberFormat="1" applyFont="1" applyBorder="1" applyAlignment="1">
      <alignment horizontal="center" vertical="center" wrapText="1"/>
    </xf>
    <xf numFmtId="3" fontId="12" fillId="0" borderId="3" xfId="0" applyNumberFormat="1" applyFont="1" applyBorder="1" applyAlignment="1">
      <alignment vertical="center" wrapText="1"/>
    </xf>
    <xf numFmtId="169" fontId="12" fillId="0" borderId="0" xfId="1" applyNumberFormat="1" applyFont="1"/>
    <xf numFmtId="3" fontId="20"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3" fontId="20" fillId="0" borderId="3" xfId="0" applyNumberFormat="1" applyFont="1" applyBorder="1" applyAlignment="1">
      <alignment vertical="center" wrapText="1"/>
    </xf>
    <xf numFmtId="3" fontId="20" fillId="0" borderId="0" xfId="0" applyNumberFormat="1" applyFont="1"/>
    <xf numFmtId="0" fontId="20" fillId="0" borderId="0" xfId="0" applyFont="1"/>
    <xf numFmtId="0" fontId="34" fillId="0" borderId="0" xfId="0" applyFont="1"/>
    <xf numFmtId="3" fontId="14" fillId="0" borderId="3" xfId="0" applyNumberFormat="1" applyFont="1" applyBorder="1" applyAlignment="1">
      <alignment vertical="center" wrapText="1"/>
    </xf>
    <xf numFmtId="0" fontId="26" fillId="0" borderId="0" xfId="0" applyFont="1" applyAlignment="1">
      <alignment vertical="center"/>
    </xf>
    <xf numFmtId="0" fontId="35" fillId="0" borderId="0" xfId="0" applyFont="1" applyAlignment="1">
      <alignment horizontal="right" vertical="center"/>
    </xf>
    <xf numFmtId="0" fontId="39" fillId="0" borderId="3" xfId="0" applyFont="1" applyBorder="1" applyAlignment="1">
      <alignment horizontal="center" vertical="center" wrapText="1"/>
    </xf>
    <xf numFmtId="0" fontId="40" fillId="0" borderId="3" xfId="0" applyFont="1" applyBorder="1" applyAlignment="1">
      <alignment horizontal="center" vertical="center" wrapText="1"/>
    </xf>
    <xf numFmtId="0" fontId="31" fillId="0" borderId="0" xfId="0" applyFont="1" applyAlignment="1">
      <alignment vertical="center"/>
    </xf>
    <xf numFmtId="0" fontId="39" fillId="0" borderId="3" xfId="0" applyFont="1" applyBorder="1" applyAlignment="1">
      <alignment vertical="center" wrapText="1"/>
    </xf>
    <xf numFmtId="3" fontId="39" fillId="0" borderId="3" xfId="0" applyNumberFormat="1" applyFont="1" applyBorder="1" applyAlignment="1">
      <alignment horizontal="center" vertical="center" wrapText="1"/>
    </xf>
    <xf numFmtId="0" fontId="28" fillId="0" borderId="0" xfId="0" applyFont="1" applyAlignment="1">
      <alignment vertical="center"/>
    </xf>
    <xf numFmtId="0" fontId="41" fillId="0" borderId="3" xfId="0" applyFont="1" applyBorder="1" applyAlignment="1">
      <alignment horizontal="center" vertical="center" wrapText="1"/>
    </xf>
    <xf numFmtId="0" fontId="41" fillId="0" borderId="3" xfId="0" applyFont="1" applyBorder="1" applyAlignment="1">
      <alignment vertical="center" wrapText="1"/>
    </xf>
    <xf numFmtId="3" fontId="41" fillId="0" borderId="3" xfId="0" applyNumberFormat="1" applyFont="1" applyBorder="1" applyAlignment="1">
      <alignment horizontal="center" vertical="center" wrapText="1"/>
    </xf>
    <xf numFmtId="0" fontId="42" fillId="0" borderId="0" xfId="0" applyFont="1" applyAlignment="1">
      <alignment vertical="center"/>
    </xf>
    <xf numFmtId="0" fontId="42" fillId="0" borderId="0" xfId="0" applyFont="1" applyAlignment="1">
      <alignment horizontal="center" vertical="center"/>
    </xf>
    <xf numFmtId="0" fontId="42" fillId="4" borderId="0" xfId="0" applyFont="1" applyFill="1" applyAlignment="1">
      <alignment vertical="center"/>
    </xf>
    <xf numFmtId="0" fontId="45" fillId="4" borderId="0" xfId="0" applyFont="1" applyFill="1" applyAlignment="1">
      <alignment horizontal="center" vertical="center"/>
    </xf>
    <xf numFmtId="0" fontId="46" fillId="4" borderId="0" xfId="0" applyFont="1" applyFill="1" applyAlignment="1">
      <alignment horizontal="center" vertical="center"/>
    </xf>
    <xf numFmtId="0" fontId="47" fillId="4" borderId="0" xfId="0" applyFont="1" applyFill="1" applyAlignment="1">
      <alignment horizontal="center" vertical="center"/>
    </xf>
    <xf numFmtId="0" fontId="47" fillId="4" borderId="0" xfId="0" applyFont="1" applyFill="1" applyAlignment="1">
      <alignment horizontal="right" vertical="center"/>
    </xf>
    <xf numFmtId="0" fontId="48" fillId="0" borderId="3" xfId="0" applyFont="1" applyBorder="1" applyAlignment="1">
      <alignment horizontal="center" vertical="center" wrapText="1"/>
    </xf>
    <xf numFmtId="0" fontId="48" fillId="4" borderId="10" xfId="0" applyFont="1" applyFill="1" applyBorder="1" applyAlignment="1">
      <alignment horizontal="center" vertical="center" wrapText="1"/>
    </xf>
    <xf numFmtId="0" fontId="48" fillId="4" borderId="8" xfId="0" applyFont="1" applyFill="1" applyBorder="1" applyAlignment="1">
      <alignment horizontal="center" vertical="center" wrapText="1"/>
    </xf>
    <xf numFmtId="0" fontId="49" fillId="0" borderId="3" xfId="0" applyFont="1" applyBorder="1" applyAlignment="1">
      <alignment horizontal="center" vertical="center" wrapText="1"/>
    </xf>
    <xf numFmtId="0" fontId="49" fillId="4" borderId="3" xfId="0" applyFont="1" applyFill="1" applyBorder="1" applyAlignment="1">
      <alignment horizontal="center" vertical="center" wrapText="1"/>
    </xf>
    <xf numFmtId="0" fontId="50" fillId="0" borderId="3" xfId="0" applyFont="1" applyBorder="1" applyAlignment="1">
      <alignment horizontal="center" vertical="center" wrapText="1"/>
    </xf>
    <xf numFmtId="0" fontId="43" fillId="0" borderId="0" xfId="0" applyFont="1" applyAlignment="1">
      <alignment vertical="center"/>
    </xf>
    <xf numFmtId="0" fontId="48" fillId="0" borderId="3" xfId="0" applyFont="1" applyBorder="1" applyAlignment="1">
      <alignment horizontal="center" vertical="center"/>
    </xf>
    <xf numFmtId="0" fontId="48" fillId="0" borderId="3" xfId="0" applyFont="1" applyBorder="1" applyAlignment="1">
      <alignment vertical="center"/>
    </xf>
    <xf numFmtId="0" fontId="42" fillId="0" borderId="3" xfId="0" applyFont="1" applyBorder="1" applyAlignment="1">
      <alignment horizontal="center" vertical="center"/>
    </xf>
    <xf numFmtId="0" fontId="42" fillId="0" borderId="3" xfId="0" applyFont="1" applyBorder="1" applyAlignment="1">
      <alignment vertical="center"/>
    </xf>
    <xf numFmtId="3" fontId="48" fillId="0" borderId="3" xfId="0" applyNumberFormat="1" applyFont="1" applyBorder="1" applyAlignment="1">
      <alignment horizontal="right" vertical="center"/>
    </xf>
    <xf numFmtId="3" fontId="48" fillId="4" borderId="3" xfId="0" applyNumberFormat="1" applyFont="1" applyFill="1" applyBorder="1" applyAlignment="1">
      <alignment horizontal="right" vertical="center"/>
    </xf>
    <xf numFmtId="3" fontId="51" fillId="0" borderId="3" xfId="0" applyNumberFormat="1" applyFont="1" applyBorder="1" applyAlignment="1">
      <alignment horizontal="right" vertical="center"/>
    </xf>
    <xf numFmtId="0" fontId="48" fillId="5" borderId="3" xfId="0" applyFont="1" applyFill="1" applyBorder="1" applyAlignment="1">
      <alignment horizontal="center" vertical="center" wrapText="1"/>
    </xf>
    <xf numFmtId="0" fontId="48" fillId="5" borderId="3" xfId="0" applyFont="1" applyFill="1" applyBorder="1" applyAlignment="1">
      <alignment horizontal="left" vertical="center" wrapText="1"/>
    </xf>
    <xf numFmtId="0" fontId="52" fillId="5" borderId="3" xfId="0" applyFont="1" applyFill="1" applyBorder="1" applyAlignment="1">
      <alignment horizontal="center" vertical="center"/>
    </xf>
    <xf numFmtId="0" fontId="52" fillId="5" borderId="3" xfId="0" applyFont="1" applyFill="1" applyBorder="1" applyAlignment="1">
      <alignment vertical="center"/>
    </xf>
    <xf numFmtId="3" fontId="48" fillId="5" borderId="3" xfId="0" applyNumberFormat="1" applyFont="1" applyFill="1" applyBorder="1" applyAlignment="1">
      <alignment horizontal="right" vertical="center" wrapText="1"/>
    </xf>
    <xf numFmtId="3" fontId="48" fillId="4" borderId="3" xfId="0" applyNumberFormat="1" applyFont="1" applyFill="1" applyBorder="1" applyAlignment="1">
      <alignment horizontal="right" vertical="center" wrapText="1"/>
    </xf>
    <xf numFmtId="3" fontId="51" fillId="5" borderId="3" xfId="0" applyNumberFormat="1" applyFont="1" applyFill="1" applyBorder="1" applyAlignment="1">
      <alignment horizontal="right" vertical="center" wrapText="1"/>
    </xf>
    <xf numFmtId="0" fontId="42" fillId="5" borderId="0" xfId="0" applyFont="1" applyFill="1" applyAlignment="1">
      <alignment vertical="center"/>
    </xf>
    <xf numFmtId="0" fontId="48" fillId="0" borderId="3" xfId="0" applyFont="1" applyBorder="1" applyAlignment="1">
      <alignment horizontal="left" vertical="center" wrapText="1"/>
    </xf>
    <xf numFmtId="0" fontId="52" fillId="0" borderId="3" xfId="0" applyFont="1" applyBorder="1" applyAlignment="1">
      <alignment horizontal="center" vertical="center"/>
    </xf>
    <xf numFmtId="0" fontId="52" fillId="0" borderId="3" xfId="0" applyFont="1" applyBorder="1" applyAlignment="1">
      <alignment vertical="center"/>
    </xf>
    <xf numFmtId="3" fontId="48" fillId="0" borderId="3" xfId="0" applyNumberFormat="1" applyFont="1" applyBorder="1" applyAlignment="1">
      <alignment horizontal="right" vertical="center" wrapText="1"/>
    </xf>
    <xf numFmtId="3" fontId="51" fillId="0" borderId="3" xfId="0" applyNumberFormat="1" applyFont="1" applyBorder="1" applyAlignment="1">
      <alignment horizontal="right" vertical="center" wrapText="1"/>
    </xf>
    <xf numFmtId="0" fontId="52" fillId="2" borderId="3" xfId="0" applyFont="1" applyFill="1" applyBorder="1" applyAlignment="1">
      <alignment horizontal="left" vertical="center" wrapText="1"/>
    </xf>
    <xf numFmtId="169" fontId="52" fillId="0" borderId="3" xfId="0" applyNumberFormat="1" applyFont="1" applyBorder="1" applyAlignment="1">
      <alignment horizontal="center" vertical="center" wrapText="1"/>
    </xf>
    <xf numFmtId="0" fontId="52" fillId="2" borderId="3" xfId="0" applyFont="1" applyFill="1" applyBorder="1" applyAlignment="1">
      <alignment horizontal="center" vertical="center" wrapText="1"/>
    </xf>
    <xf numFmtId="0" fontId="52" fillId="0" borderId="3" xfId="0" applyFont="1" applyBorder="1" applyAlignment="1">
      <alignment horizontal="center" vertical="center" wrapText="1"/>
    </xf>
    <xf numFmtId="3" fontId="52" fillId="0" borderId="3" xfId="1" applyNumberFormat="1" applyFont="1" applyFill="1" applyBorder="1" applyAlignment="1">
      <alignment horizontal="right" vertical="center"/>
    </xf>
    <xf numFmtId="3" fontId="53" fillId="0" borderId="3" xfId="1" applyNumberFormat="1" applyFont="1" applyFill="1" applyBorder="1" applyAlignment="1">
      <alignment horizontal="right" vertical="center"/>
    </xf>
    <xf numFmtId="3" fontId="53" fillId="0" borderId="3" xfId="1" applyNumberFormat="1" applyFont="1" applyBorder="1" applyAlignment="1">
      <alignment vertical="center"/>
    </xf>
    <xf numFmtId="3" fontId="52" fillId="0" borderId="3" xfId="1" applyNumberFormat="1" applyFont="1" applyBorder="1" applyAlignment="1">
      <alignment vertical="center"/>
    </xf>
    <xf numFmtId="3" fontId="52" fillId="0" borderId="3" xfId="1" applyNumberFormat="1" applyFont="1" applyBorder="1" applyAlignment="1">
      <alignment horizontal="center" vertical="center"/>
    </xf>
    <xf numFmtId="3" fontId="52" fillId="4" borderId="3" xfId="1" applyNumberFormat="1" applyFont="1" applyFill="1" applyBorder="1" applyAlignment="1">
      <alignment horizontal="center" vertical="center"/>
    </xf>
    <xf numFmtId="3" fontId="53" fillId="0" borderId="3" xfId="1" applyNumberFormat="1" applyFont="1" applyFill="1" applyBorder="1" applyAlignment="1">
      <alignment vertical="center"/>
    </xf>
    <xf numFmtId="3" fontId="52" fillId="0" borderId="3" xfId="0" applyNumberFormat="1" applyFont="1" applyBorder="1" applyAlignment="1">
      <alignment vertical="center" wrapText="1"/>
    </xf>
    <xf numFmtId="0" fontId="52" fillId="6" borderId="3" xfId="0" applyFont="1" applyFill="1" applyBorder="1" applyAlignment="1">
      <alignment horizontal="center" vertical="center" wrapText="1"/>
    </xf>
    <xf numFmtId="0" fontId="52" fillId="0" borderId="3" xfId="0" applyFont="1" applyBorder="1" applyAlignment="1">
      <alignment horizontal="left" vertical="center" wrapText="1"/>
    </xf>
    <xf numFmtId="3" fontId="52" fillId="0" borderId="3" xfId="1" applyNumberFormat="1" applyFont="1" applyFill="1" applyBorder="1" applyAlignment="1">
      <alignment vertical="center"/>
    </xf>
    <xf numFmtId="3" fontId="52" fillId="0" borderId="3" xfId="1" applyNumberFormat="1" applyFont="1" applyFill="1" applyBorder="1" applyAlignment="1">
      <alignment horizontal="center" vertical="center"/>
    </xf>
    <xf numFmtId="0" fontId="52" fillId="5" borderId="3" xfId="0" applyFont="1" applyFill="1" applyBorder="1" applyAlignment="1">
      <alignment horizontal="center" vertical="center" wrapText="1"/>
    </xf>
    <xf numFmtId="0" fontId="48" fillId="4" borderId="3" xfId="0" applyFont="1" applyFill="1" applyBorder="1" applyAlignment="1">
      <alignment horizontal="center" vertical="center"/>
    </xf>
    <xf numFmtId="3" fontId="48" fillId="4" borderId="3" xfId="0" applyNumberFormat="1" applyFont="1" applyFill="1" applyBorder="1" applyAlignment="1">
      <alignment vertical="center" wrapText="1"/>
    </xf>
    <xf numFmtId="0" fontId="52" fillId="4" borderId="3" xfId="0" applyFont="1" applyFill="1" applyBorder="1" applyAlignment="1">
      <alignment horizontal="center" vertical="center" wrapText="1"/>
    </xf>
    <xf numFmtId="3" fontId="48" fillId="4" borderId="3" xfId="0" applyNumberFormat="1" applyFont="1" applyFill="1" applyBorder="1" applyAlignment="1">
      <alignment horizontal="center" vertical="center" wrapText="1"/>
    </xf>
    <xf numFmtId="0" fontId="52" fillId="4" borderId="3" xfId="0" applyFont="1" applyFill="1" applyBorder="1" applyAlignment="1">
      <alignment horizontal="center" vertical="center"/>
    </xf>
    <xf numFmtId="3" fontId="51" fillId="4" borderId="3" xfId="0" applyNumberFormat="1" applyFont="1" applyFill="1" applyBorder="1" applyAlignment="1">
      <alignment horizontal="right" vertical="center" wrapText="1"/>
    </xf>
    <xf numFmtId="3" fontId="52" fillId="6" borderId="3" xfId="0" applyNumberFormat="1" applyFont="1" applyFill="1" applyBorder="1" applyAlignment="1">
      <alignment horizontal="center" vertical="center" wrapText="1"/>
    </xf>
    <xf numFmtId="3" fontId="52" fillId="0" borderId="3" xfId="1" applyNumberFormat="1" applyFont="1" applyBorder="1" applyAlignment="1">
      <alignment horizontal="center" vertical="center" wrapText="1"/>
    </xf>
    <xf numFmtId="3" fontId="52" fillId="4" borderId="3" xfId="1" applyNumberFormat="1" applyFont="1" applyFill="1" applyBorder="1" applyAlignment="1">
      <alignment horizontal="center" vertical="center" wrapText="1"/>
    </xf>
    <xf numFmtId="3" fontId="52" fillId="0" borderId="3" xfId="0" applyNumberFormat="1" applyFont="1" applyBorder="1" applyAlignment="1">
      <alignment horizontal="center" vertical="center" wrapText="1"/>
    </xf>
    <xf numFmtId="0" fontId="57" fillId="0" borderId="3" xfId="0" applyFont="1" applyBorder="1" applyAlignment="1">
      <alignment horizontal="center" vertical="center"/>
    </xf>
    <xf numFmtId="0" fontId="51" fillId="5" borderId="3" xfId="0" applyFont="1" applyFill="1" applyBorder="1" applyAlignment="1">
      <alignment horizontal="center" vertical="center" wrapText="1"/>
    </xf>
    <xf numFmtId="0" fontId="58" fillId="0" borderId="3" xfId="0" applyFont="1" applyBorder="1" applyAlignment="1">
      <alignment horizontal="center" vertical="center"/>
    </xf>
    <xf numFmtId="0" fontId="58" fillId="4" borderId="3" xfId="0" applyFont="1" applyFill="1" applyBorder="1" applyAlignment="1">
      <alignment horizontal="center" vertical="center"/>
    </xf>
    <xf numFmtId="0" fontId="35" fillId="0" borderId="3" xfId="0" applyFont="1" applyBorder="1" applyAlignment="1">
      <alignment horizontal="center" vertical="center" wrapText="1"/>
    </xf>
    <xf numFmtId="0" fontId="35" fillId="0" borderId="3" xfId="0" applyFont="1" applyBorder="1" applyAlignment="1">
      <alignment vertical="center" wrapText="1"/>
    </xf>
    <xf numFmtId="0" fontId="33" fillId="0" borderId="3" xfId="0" applyFont="1" applyBorder="1" applyAlignment="1">
      <alignment horizontal="center" vertical="center" wrapText="1"/>
    </xf>
    <xf numFmtId="0" fontId="33" fillId="0" borderId="3" xfId="0" applyFont="1" applyBorder="1" applyAlignment="1">
      <alignment vertical="center" wrapText="1"/>
    </xf>
    <xf numFmtId="0" fontId="59" fillId="0" borderId="0" xfId="0" applyFont="1" applyAlignment="1">
      <alignment vertical="center"/>
    </xf>
    <xf numFmtId="0" fontId="27" fillId="0" borderId="3" xfId="0" applyFont="1" applyBorder="1" applyAlignment="1">
      <alignment vertical="center" wrapText="1"/>
    </xf>
    <xf numFmtId="0" fontId="20" fillId="0" borderId="0" xfId="0" applyFont="1" applyAlignment="1">
      <alignment vertical="center"/>
    </xf>
    <xf numFmtId="0" fontId="20" fillId="2" borderId="0" xfId="0" applyFont="1" applyFill="1" applyAlignment="1">
      <alignment vertical="center"/>
    </xf>
    <xf numFmtId="0" fontId="20" fillId="0" borderId="0" xfId="0" applyFont="1" applyAlignment="1">
      <alignment horizontal="center" vertical="center"/>
    </xf>
    <xf numFmtId="4" fontId="20" fillId="0" borderId="0" xfId="0" applyNumberFormat="1" applyFont="1" applyAlignment="1">
      <alignment vertical="center"/>
    </xf>
    <xf numFmtId="0" fontId="60" fillId="0" borderId="3" xfId="0" applyFont="1" applyBorder="1" applyAlignment="1">
      <alignment horizontal="center" vertical="center" wrapText="1"/>
    </xf>
    <xf numFmtId="0" fontId="61" fillId="2" borderId="0" xfId="0" applyFont="1" applyFill="1" applyAlignment="1">
      <alignment vertical="center"/>
    </xf>
    <xf numFmtId="0" fontId="61" fillId="0" borderId="0" xfId="0" applyFont="1" applyAlignment="1">
      <alignment vertical="center"/>
    </xf>
    <xf numFmtId="0" fontId="60" fillId="2" borderId="3" xfId="0" applyFont="1" applyFill="1" applyBorder="1" applyAlignment="1">
      <alignment horizontal="center" vertical="center" wrapText="1"/>
    </xf>
    <xf numFmtId="3" fontId="62" fillId="2" borderId="0" xfId="0" applyNumberFormat="1" applyFont="1" applyFill="1" applyAlignment="1">
      <alignment vertical="center"/>
    </xf>
    <xf numFmtId="0" fontId="62" fillId="2" borderId="0" xfId="0" applyFont="1" applyFill="1" applyAlignment="1">
      <alignment vertical="center"/>
    </xf>
    <xf numFmtId="0" fontId="62" fillId="0" borderId="0" xfId="0" applyFont="1" applyAlignment="1">
      <alignment vertical="center"/>
    </xf>
    <xf numFmtId="166" fontId="61" fillId="2" borderId="3" xfId="0" applyNumberFormat="1" applyFont="1" applyFill="1" applyBorder="1" applyAlignment="1">
      <alignment horizontal="center" vertical="center" wrapText="1"/>
    </xf>
    <xf numFmtId="0" fontId="62" fillId="0" borderId="3" xfId="0" applyFont="1" applyBorder="1" applyAlignment="1">
      <alignment horizontal="center" vertical="center" wrapText="1"/>
    </xf>
    <xf numFmtId="0" fontId="61" fillId="0" borderId="3" xfId="0" applyFont="1" applyBorder="1" applyAlignment="1">
      <alignment horizontal="center" vertical="center"/>
    </xf>
    <xf numFmtId="0" fontId="61" fillId="0" borderId="0" xfId="0" applyFont="1" applyAlignment="1">
      <alignment horizontal="center" vertical="center"/>
    </xf>
    <xf numFmtId="4" fontId="61" fillId="0" borderId="0" xfId="0" applyNumberFormat="1" applyFont="1" applyAlignment="1">
      <alignment vertical="center"/>
    </xf>
    <xf numFmtId="0" fontId="61" fillId="2" borderId="0" xfId="0" applyFont="1" applyFill="1" applyAlignment="1">
      <alignment horizontal="center" vertical="center"/>
    </xf>
    <xf numFmtId="3" fontId="62" fillId="0" borderId="3" xfId="0" applyNumberFormat="1" applyFont="1" applyBorder="1" applyAlignment="1">
      <alignment horizontal="center" vertical="center" wrapText="1"/>
    </xf>
    <xf numFmtId="0" fontId="35" fillId="0" borderId="0" xfId="0" applyFont="1" applyAlignment="1">
      <alignment vertical="center"/>
    </xf>
    <xf numFmtId="0" fontId="60" fillId="2" borderId="3" xfId="0" applyFont="1" applyFill="1" applyBorder="1" applyAlignment="1">
      <alignment horizontal="center" vertical="center"/>
    </xf>
    <xf numFmtId="166" fontId="60" fillId="2" borderId="3" xfId="0" applyNumberFormat="1" applyFont="1" applyFill="1" applyBorder="1" applyAlignment="1">
      <alignment horizontal="center" vertical="center" wrapText="1"/>
    </xf>
    <xf numFmtId="0" fontId="60" fillId="2" borderId="0" xfId="0" applyFont="1" applyFill="1" applyAlignment="1">
      <alignment vertical="center"/>
    </xf>
    <xf numFmtId="3" fontId="60" fillId="2" borderId="3" xfId="0" applyNumberFormat="1" applyFont="1" applyFill="1" applyBorder="1" applyAlignment="1">
      <alignment horizontal="right" vertical="center" wrapText="1"/>
    </xf>
    <xf numFmtId="3" fontId="61" fillId="2" borderId="3" xfId="0" applyNumberFormat="1" applyFont="1" applyFill="1" applyBorder="1" applyAlignment="1">
      <alignment horizontal="right" vertical="center" wrapText="1"/>
    </xf>
    <xf numFmtId="3" fontId="60" fillId="4" borderId="3" xfId="0" applyNumberFormat="1" applyFont="1" applyFill="1" applyBorder="1" applyAlignment="1">
      <alignment horizontal="right" vertical="center" wrapText="1"/>
    </xf>
    <xf numFmtId="166" fontId="60" fillId="4" borderId="3" xfId="0" applyNumberFormat="1" applyFont="1" applyFill="1" applyBorder="1" applyAlignment="1">
      <alignment horizontal="center" vertical="center" wrapText="1"/>
    </xf>
    <xf numFmtId="0" fontId="60" fillId="4" borderId="0" xfId="0" applyFont="1" applyFill="1" applyAlignment="1">
      <alignment vertical="center"/>
    </xf>
    <xf numFmtId="9" fontId="61" fillId="2" borderId="3" xfId="2" applyFont="1" applyFill="1" applyBorder="1" applyAlignment="1">
      <alignment horizontal="center" vertical="center" wrapText="1"/>
    </xf>
    <xf numFmtId="9" fontId="60" fillId="0" borderId="3" xfId="2" applyFont="1" applyFill="1" applyBorder="1" applyAlignment="1">
      <alignment horizontal="center" vertical="center" wrapText="1"/>
    </xf>
    <xf numFmtId="0" fontId="33" fillId="0" borderId="7" xfId="0" applyFont="1" applyBorder="1" applyAlignment="1">
      <alignment horizontal="center" vertical="center" wrapText="1"/>
    </xf>
    <xf numFmtId="3" fontId="35" fillId="0" borderId="3" xfId="0" applyNumberFormat="1" applyFont="1" applyBorder="1" applyAlignment="1">
      <alignment horizontal="right" vertical="center" wrapText="1"/>
    </xf>
    <xf numFmtId="3" fontId="35" fillId="2" borderId="3" xfId="0" applyNumberFormat="1" applyFont="1" applyFill="1" applyBorder="1" applyAlignment="1">
      <alignment horizontal="right" vertical="center" wrapText="1"/>
    </xf>
    <xf numFmtId="3" fontId="33" fillId="0" borderId="3" xfId="0" applyNumberFormat="1" applyFont="1" applyBorder="1" applyAlignment="1">
      <alignment horizontal="right" vertical="center" wrapText="1"/>
    </xf>
    <xf numFmtId="0" fontId="33" fillId="2" borderId="3" xfId="0" applyFont="1" applyFill="1" applyBorder="1" applyAlignment="1">
      <alignment horizontal="right" vertical="center" wrapText="1"/>
    </xf>
    <xf numFmtId="37" fontId="33" fillId="0" borderId="3" xfId="0" applyNumberFormat="1" applyFont="1" applyBorder="1" applyAlignment="1">
      <alignment horizontal="right" vertical="center" wrapText="1"/>
    </xf>
    <xf numFmtId="0" fontId="33" fillId="0" borderId="3" xfId="0" applyFont="1" applyBorder="1" applyAlignment="1">
      <alignment horizontal="right" vertical="center" wrapText="1"/>
    </xf>
    <xf numFmtId="3" fontId="33" fillId="2" borderId="3" xfId="0" applyNumberFormat="1" applyFont="1" applyFill="1" applyBorder="1" applyAlignment="1">
      <alignment horizontal="right" vertical="center" wrapText="1"/>
    </xf>
    <xf numFmtId="37" fontId="35" fillId="0" borderId="3" xfId="0" applyNumberFormat="1" applyFont="1" applyBorder="1" applyAlignment="1">
      <alignment horizontal="right" vertical="center" wrapText="1"/>
    </xf>
    <xf numFmtId="9" fontId="35" fillId="0" borderId="3" xfId="2" applyFont="1" applyBorder="1" applyAlignment="1">
      <alignment horizontal="center" vertical="center" wrapText="1"/>
    </xf>
    <xf numFmtId="9" fontId="33" fillId="0" borderId="7" xfId="2" applyFont="1" applyBorder="1" applyAlignment="1">
      <alignment horizontal="center" vertical="center" wrapText="1"/>
    </xf>
    <xf numFmtId="3" fontId="20" fillId="0" borderId="0" xfId="11" applyNumberFormat="1" applyAlignment="1">
      <alignment vertical="center"/>
    </xf>
    <xf numFmtId="0" fontId="20" fillId="0" borderId="0" xfId="11" applyAlignment="1">
      <alignment vertical="center"/>
    </xf>
    <xf numFmtId="0" fontId="34" fillId="0" borderId="0" xfId="11" applyFont="1" applyAlignment="1">
      <alignment horizontal="center" vertical="center"/>
    </xf>
    <xf numFmtId="170" fontId="6" fillId="0" borderId="0" xfId="12" applyNumberFormat="1" applyFont="1" applyAlignment="1">
      <alignment vertical="center" wrapText="1"/>
    </xf>
    <xf numFmtId="171" fontId="68" fillId="0" borderId="0" xfId="11" applyNumberFormat="1" applyFont="1" applyAlignment="1">
      <alignment horizontal="left" vertical="center"/>
    </xf>
    <xf numFmtId="0" fontId="20" fillId="0" borderId="0" xfId="11" applyAlignment="1">
      <alignment horizontal="center" vertical="center" wrapText="1"/>
    </xf>
    <xf numFmtId="0" fontId="56" fillId="0" borderId="3" xfId="11" applyFont="1" applyBorder="1" applyAlignment="1">
      <alignment horizontal="center" vertical="center"/>
    </xf>
    <xf numFmtId="0" fontId="56" fillId="2" borderId="3" xfId="11" applyFont="1" applyFill="1" applyBorder="1" applyAlignment="1">
      <alignment horizontal="center" vertical="center"/>
    </xf>
    <xf numFmtId="0" fontId="56" fillId="0" borderId="0" xfId="11" applyFont="1" applyAlignment="1">
      <alignment vertical="center"/>
    </xf>
    <xf numFmtId="0" fontId="34" fillId="0" borderId="7" xfId="11" applyFont="1" applyBorder="1" applyAlignment="1">
      <alignment horizontal="center" vertical="center"/>
    </xf>
    <xf numFmtId="3" fontId="34" fillId="0" borderId="7" xfId="11" applyNumberFormat="1" applyFont="1" applyBorder="1" applyAlignment="1">
      <alignment horizontal="right" vertical="center"/>
    </xf>
    <xf numFmtId="9" fontId="34" fillId="2" borderId="3" xfId="2" applyFont="1" applyFill="1" applyBorder="1" applyAlignment="1">
      <alignment horizontal="center" vertical="center"/>
    </xf>
    <xf numFmtId="0" fontId="34" fillId="0" borderId="3" xfId="11" applyFont="1" applyBorder="1" applyAlignment="1">
      <alignment horizontal="center" vertical="center"/>
    </xf>
    <xf numFmtId="0" fontId="34" fillId="0" borderId="3" xfId="11" applyFont="1" applyBorder="1" applyAlignment="1">
      <alignment horizontal="left" vertical="center"/>
    </xf>
    <xf numFmtId="3" fontId="34" fillId="0" borderId="3" xfId="13" applyNumberFormat="1" applyFont="1" applyBorder="1" applyAlignment="1">
      <alignment vertical="center"/>
    </xf>
    <xf numFmtId="3" fontId="34" fillId="0" borderId="3" xfId="13" applyNumberFormat="1" applyFont="1" applyFill="1" applyBorder="1" applyAlignment="1">
      <alignment vertical="center"/>
    </xf>
    <xf numFmtId="0" fontId="70" fillId="0" borderId="0" xfId="11" applyFont="1" applyAlignment="1">
      <alignment vertical="center"/>
    </xf>
    <xf numFmtId="0" fontId="34" fillId="0" borderId="3" xfId="11" applyFont="1" applyBorder="1" applyAlignment="1">
      <alignment horizontal="left" vertical="center" wrapText="1"/>
    </xf>
    <xf numFmtId="0" fontId="20" fillId="0" borderId="3" xfId="11" applyBorder="1" applyAlignment="1">
      <alignment horizontal="left" vertical="center" wrapText="1"/>
    </xf>
    <xf numFmtId="3" fontId="20" fillId="0" borderId="3" xfId="13" applyNumberFormat="1" applyFont="1" applyBorder="1" applyAlignment="1">
      <alignment vertical="center"/>
    </xf>
    <xf numFmtId="3" fontId="20" fillId="0" borderId="3" xfId="13" applyNumberFormat="1" applyFont="1" applyFill="1" applyBorder="1" applyAlignment="1">
      <alignment vertical="center"/>
    </xf>
    <xf numFmtId="9" fontId="20" fillId="2" borderId="3" xfId="2" applyFont="1" applyFill="1" applyBorder="1" applyAlignment="1">
      <alignment horizontal="center" vertical="center"/>
    </xf>
    <xf numFmtId="0" fontId="34" fillId="0" borderId="3" xfId="11" applyFont="1" applyBorder="1" applyAlignment="1">
      <alignment vertical="center" wrapText="1"/>
    </xf>
    <xf numFmtId="3" fontId="34" fillId="0" borderId="3" xfId="13" applyNumberFormat="1" applyFont="1" applyFill="1" applyBorder="1" applyAlignment="1">
      <alignment horizontal="right" vertical="center"/>
    </xf>
    <xf numFmtId="0" fontId="20" fillId="0" borderId="3" xfId="11" applyBorder="1" applyAlignment="1">
      <alignment horizontal="center" vertical="center"/>
    </xf>
    <xf numFmtId="3" fontId="20" fillId="0" borderId="3" xfId="1" applyNumberFormat="1" applyFont="1" applyFill="1" applyBorder="1" applyAlignment="1">
      <alignment horizontal="right" vertical="center"/>
    </xf>
    <xf numFmtId="0" fontId="20" fillId="0" borderId="3" xfId="11" applyBorder="1" applyAlignment="1">
      <alignment vertical="center" wrapText="1"/>
    </xf>
    <xf numFmtId="3" fontId="20" fillId="0" borderId="3" xfId="13" applyNumberFormat="1" applyFont="1" applyFill="1" applyBorder="1" applyAlignment="1">
      <alignment horizontal="right" vertical="center"/>
    </xf>
    <xf numFmtId="3" fontId="34" fillId="0" borderId="3" xfId="1" applyNumberFormat="1" applyFont="1" applyFill="1" applyBorder="1" applyAlignment="1">
      <alignment vertical="center"/>
    </xf>
    <xf numFmtId="3" fontId="20" fillId="0" borderId="3" xfId="1" applyNumberFormat="1" applyFont="1" applyFill="1" applyBorder="1" applyAlignment="1">
      <alignment vertical="center"/>
    </xf>
    <xf numFmtId="0" fontId="34" fillId="0" borderId="3" xfId="11" applyFont="1" applyBorder="1" applyAlignment="1">
      <alignment vertical="center"/>
    </xf>
    <xf numFmtId="0" fontId="34" fillId="0" borderId="0" xfId="11" applyFont="1" applyAlignment="1">
      <alignment vertical="center"/>
    </xf>
    <xf numFmtId="0" fontId="71" fillId="0" borderId="0" xfId="11" applyFont="1" applyAlignment="1">
      <alignment vertical="center"/>
    </xf>
    <xf numFmtId="0" fontId="72" fillId="0" borderId="0" xfId="11" applyFont="1" applyAlignment="1">
      <alignment vertical="center"/>
    </xf>
    <xf numFmtId="0" fontId="73" fillId="0" borderId="0" xfId="11" applyFont="1" applyAlignment="1">
      <alignment vertical="center"/>
    </xf>
    <xf numFmtId="3" fontId="73" fillId="0" borderId="0" xfId="11" applyNumberFormat="1" applyFont="1" applyAlignment="1">
      <alignment vertical="center"/>
    </xf>
    <xf numFmtId="169" fontId="71" fillId="0" borderId="0" xfId="13" applyNumberFormat="1" applyFont="1" applyFill="1" applyBorder="1" applyAlignment="1">
      <alignment vertical="center"/>
    </xf>
    <xf numFmtId="0" fontId="74" fillId="2" borderId="0" xfId="11" applyFont="1" applyFill="1" applyAlignment="1">
      <alignment horizontal="center" vertical="center"/>
    </xf>
    <xf numFmtId="0" fontId="75" fillId="0" borderId="0" xfId="11" applyFont="1" applyAlignment="1">
      <alignment horizontal="center" vertical="center"/>
    </xf>
    <xf numFmtId="0" fontId="71" fillId="2" borderId="0" xfId="11" applyFont="1" applyFill="1" applyAlignment="1">
      <alignment vertical="center"/>
    </xf>
    <xf numFmtId="0" fontId="20" fillId="2" borderId="0" xfId="11" applyFill="1" applyAlignment="1">
      <alignment vertical="center"/>
    </xf>
    <xf numFmtId="0" fontId="61" fillId="0" borderId="0" xfId="0" applyFont="1" applyAlignment="1">
      <alignment vertical="center" wrapText="1"/>
    </xf>
    <xf numFmtId="3" fontId="61" fillId="0" borderId="0" xfId="0" applyNumberFormat="1" applyFont="1" applyAlignment="1">
      <alignment vertical="center" wrapText="1"/>
    </xf>
    <xf numFmtId="0" fontId="20" fillId="0" borderId="0" xfId="12" applyFont="1" applyAlignment="1">
      <alignment vertical="center" wrapText="1"/>
    </xf>
    <xf numFmtId="0" fontId="76" fillId="0" borderId="3" xfId="0" applyFont="1" applyBorder="1" applyAlignment="1">
      <alignment horizontal="center" vertical="center" wrapText="1"/>
    </xf>
    <xf numFmtId="0" fontId="77" fillId="0" borderId="0" xfId="0" applyFont="1" applyAlignment="1">
      <alignment vertical="center" wrapText="1"/>
    </xf>
    <xf numFmtId="3" fontId="76" fillId="0" borderId="7" xfId="14" applyNumberFormat="1" applyFont="1" applyBorder="1" applyAlignment="1">
      <alignment horizontal="center" vertical="center" wrapText="1"/>
    </xf>
    <xf numFmtId="0" fontId="78" fillId="0" borderId="3" xfId="0" applyFont="1" applyBorder="1" applyAlignment="1">
      <alignment horizontal="center" vertical="center" wrapText="1"/>
    </xf>
    <xf numFmtId="3" fontId="78" fillId="0" borderId="3" xfId="0" applyNumberFormat="1" applyFont="1" applyBorder="1" applyAlignment="1">
      <alignment horizontal="center" vertical="center" wrapText="1"/>
    </xf>
    <xf numFmtId="0" fontId="76" fillId="0" borderId="3" xfId="0" applyFont="1" applyBorder="1" applyAlignment="1">
      <alignment vertical="center" wrapText="1"/>
    </xf>
    <xf numFmtId="3" fontId="76" fillId="0" borderId="3" xfId="0" applyNumberFormat="1" applyFont="1" applyBorder="1" applyAlignment="1">
      <alignment vertical="center" wrapText="1"/>
    </xf>
    <xf numFmtId="0" fontId="76" fillId="0" borderId="3" xfId="0" applyFont="1" applyBorder="1" applyAlignment="1">
      <alignment horizontal="center" vertical="center" wrapText="1" readingOrder="1"/>
    </xf>
    <xf numFmtId="0" fontId="76" fillId="0" borderId="3" xfId="0" applyFont="1" applyBorder="1" applyAlignment="1">
      <alignment horizontal="left" vertical="center" wrapText="1" readingOrder="1"/>
    </xf>
    <xf numFmtId="3" fontId="76" fillId="0" borderId="3" xfId="0" applyNumberFormat="1" applyFont="1" applyBorder="1" applyAlignment="1">
      <alignment horizontal="right" vertical="center" wrapText="1" readingOrder="1"/>
    </xf>
    <xf numFmtId="0" fontId="77" fillId="0" borderId="3" xfId="0" applyFont="1" applyBorder="1" applyAlignment="1">
      <alignment horizontal="center" vertical="center" wrapText="1" readingOrder="1"/>
    </xf>
    <xf numFmtId="0" fontId="77" fillId="0" borderId="3" xfId="0" applyFont="1" applyBorder="1" applyAlignment="1">
      <alignment horizontal="left" vertical="center" wrapText="1" readingOrder="1"/>
    </xf>
    <xf numFmtId="3" fontId="77" fillId="2" borderId="3" xfId="0" applyNumberFormat="1" applyFont="1" applyFill="1" applyBorder="1" applyAlignment="1">
      <alignment horizontal="right" vertical="center" wrapText="1" readingOrder="1"/>
    </xf>
    <xf numFmtId="3" fontId="77" fillId="0" borderId="3" xfId="0" applyNumberFormat="1" applyFont="1" applyBorder="1" applyAlignment="1">
      <alignment vertical="center" wrapText="1"/>
    </xf>
    <xf numFmtId="0" fontId="78" fillId="0" borderId="3" xfId="0" applyFont="1" applyBorder="1" applyAlignment="1">
      <alignment horizontal="center" vertical="center" wrapText="1" readingOrder="1"/>
    </xf>
    <xf numFmtId="0" fontId="78" fillId="0" borderId="3" xfId="0" applyFont="1" applyBorder="1" applyAlignment="1">
      <alignment horizontal="left" vertical="center" wrapText="1" readingOrder="1"/>
    </xf>
    <xf numFmtId="3" fontId="78" fillId="2" borderId="3" xfId="0" applyNumberFormat="1" applyFont="1" applyFill="1" applyBorder="1" applyAlignment="1">
      <alignment horizontal="right" vertical="center" wrapText="1" readingOrder="1"/>
    </xf>
    <xf numFmtId="3" fontId="78" fillId="0" borderId="3" xfId="0" applyNumberFormat="1" applyFont="1" applyBorder="1" applyAlignment="1">
      <alignment vertical="center" wrapText="1"/>
    </xf>
    <xf numFmtId="0" fontId="78" fillId="0" borderId="0" xfId="0" applyFont="1" applyAlignment="1">
      <alignment vertical="center" wrapText="1"/>
    </xf>
    <xf numFmtId="3" fontId="77" fillId="0" borderId="3" xfId="1" applyNumberFormat="1" applyFont="1" applyFill="1" applyBorder="1" applyAlignment="1">
      <alignment vertical="center" wrapText="1"/>
    </xf>
    <xf numFmtId="3" fontId="77" fillId="0" borderId="3" xfId="0" applyNumberFormat="1" applyFont="1" applyBorder="1" applyAlignment="1">
      <alignment horizontal="right" vertical="center" wrapText="1" readingOrder="1"/>
    </xf>
    <xf numFmtId="0" fontId="77" fillId="2" borderId="3" xfId="0" applyFont="1" applyFill="1" applyBorder="1" applyAlignment="1">
      <alignment horizontal="left" vertical="center" wrapText="1" readingOrder="1"/>
    </xf>
    <xf numFmtId="3" fontId="77" fillId="0" borderId="3" xfId="0" applyNumberFormat="1" applyFont="1" applyBorder="1" applyAlignment="1">
      <alignment vertical="center"/>
    </xf>
    <xf numFmtId="3" fontId="77" fillId="0" borderId="3" xfId="1" applyNumberFormat="1" applyFont="1" applyFill="1" applyBorder="1" applyAlignment="1">
      <alignment vertical="center"/>
    </xf>
    <xf numFmtId="0" fontId="34" fillId="0" borderId="3" xfId="11" applyFont="1" applyBorder="1" applyAlignment="1">
      <alignment horizontal="center" vertical="center" wrapText="1"/>
    </xf>
    <xf numFmtId="0" fontId="34" fillId="2" borderId="3" xfId="11" applyFont="1" applyFill="1" applyBorder="1" applyAlignment="1">
      <alignment horizontal="center" vertical="center" wrapText="1"/>
    </xf>
    <xf numFmtId="0" fontId="34" fillId="0" borderId="7" xfId="11" applyFont="1" applyBorder="1" applyAlignment="1">
      <alignment horizontal="center" vertical="center" wrapText="1"/>
    </xf>
    <xf numFmtId="172" fontId="56" fillId="0" borderId="0" xfId="11" applyNumberFormat="1" applyFont="1" applyAlignment="1">
      <alignment horizontal="center" vertical="center"/>
    </xf>
    <xf numFmtId="3" fontId="76" fillId="0" borderId="3" xfId="1" applyNumberFormat="1" applyFont="1" applyFill="1" applyBorder="1" applyAlignment="1">
      <alignment vertical="center" wrapText="1"/>
    </xf>
    <xf numFmtId="3" fontId="60" fillId="5" borderId="3" xfId="0" applyNumberFormat="1" applyFont="1" applyFill="1" applyBorder="1" applyAlignment="1">
      <alignment horizontal="right" vertical="center" wrapText="1"/>
    </xf>
    <xf numFmtId="9" fontId="60" fillId="5" borderId="3" xfId="2" applyFont="1" applyFill="1" applyBorder="1" applyAlignment="1">
      <alignment horizontal="center" vertical="center" wrapText="1"/>
    </xf>
    <xf numFmtId="166" fontId="60" fillId="5" borderId="3" xfId="0" applyNumberFormat="1" applyFont="1" applyFill="1" applyBorder="1" applyAlignment="1">
      <alignment horizontal="center" vertical="center" wrapText="1"/>
    </xf>
    <xf numFmtId="0" fontId="60" fillId="5" borderId="0" xfId="0" applyFont="1" applyFill="1" applyAlignment="1">
      <alignment vertical="center"/>
    </xf>
    <xf numFmtId="0" fontId="60" fillId="5" borderId="3" xfId="0" applyFont="1" applyFill="1" applyBorder="1" applyAlignment="1">
      <alignment horizontal="center" vertical="center"/>
    </xf>
    <xf numFmtId="3" fontId="33" fillId="0" borderId="3" xfId="0" applyNumberFormat="1" applyFont="1" applyBorder="1" applyAlignment="1">
      <alignment vertical="center" wrapText="1"/>
    </xf>
    <xf numFmtId="3" fontId="27" fillId="0" borderId="3" xfId="0" applyNumberFormat="1" applyFont="1" applyBorder="1" applyAlignment="1">
      <alignment vertical="center" wrapText="1"/>
    </xf>
    <xf numFmtId="3" fontId="35" fillId="0" borderId="3" xfId="0" applyNumberFormat="1" applyFont="1" applyBorder="1" applyAlignment="1">
      <alignment vertical="center" wrapText="1"/>
    </xf>
    <xf numFmtId="0" fontId="28" fillId="0" borderId="0" xfId="0" applyFont="1"/>
    <xf numFmtId="3" fontId="26" fillId="0" borderId="0" xfId="0" applyNumberFormat="1" applyFont="1"/>
    <xf numFmtId="3" fontId="28" fillId="0" borderId="0" xfId="0" applyNumberFormat="1" applyFont="1"/>
    <xf numFmtId="169" fontId="26" fillId="0" borderId="0" xfId="1" applyNumberFormat="1" applyFont="1"/>
    <xf numFmtId="0" fontId="80" fillId="0" borderId="0" xfId="0" applyFont="1" applyAlignment="1">
      <alignment horizontal="right" vertical="center"/>
    </xf>
    <xf numFmtId="0" fontId="80" fillId="0" borderId="0" xfId="0" applyFont="1" applyAlignment="1">
      <alignment horizontal="center" vertical="center"/>
    </xf>
    <xf numFmtId="0" fontId="81" fillId="0" borderId="0" xfId="0" applyFont="1" applyAlignment="1">
      <alignment horizontal="right" vertical="center"/>
    </xf>
    <xf numFmtId="0" fontId="80" fillId="0" borderId="19" xfId="0" applyFont="1" applyBorder="1" applyAlignment="1">
      <alignment horizontal="center" vertical="center" wrapText="1"/>
    </xf>
    <xf numFmtId="0" fontId="80" fillId="0" borderId="16" xfId="0" applyFont="1" applyBorder="1" applyAlignment="1">
      <alignment horizontal="center" vertical="center" wrapText="1"/>
    </xf>
    <xf numFmtId="0" fontId="82" fillId="0" borderId="15" xfId="0" applyFont="1" applyBorder="1" applyAlignment="1">
      <alignment horizontal="center" vertical="center" wrapText="1"/>
    </xf>
    <xf numFmtId="0" fontId="82" fillId="0" borderId="16" xfId="0" applyFont="1" applyBorder="1" applyAlignment="1">
      <alignment horizontal="center" vertical="center" wrapText="1"/>
    </xf>
    <xf numFmtId="0" fontId="82" fillId="0" borderId="18" xfId="0" applyFont="1" applyBorder="1" applyAlignment="1">
      <alignment vertical="center" wrapText="1"/>
    </xf>
    <xf numFmtId="0" fontId="0" fillId="0" borderId="18" xfId="0" applyBorder="1" applyAlignment="1">
      <alignment vertical="top" wrapText="1"/>
    </xf>
    <xf numFmtId="0" fontId="0" fillId="0" borderId="19" xfId="0" applyBorder="1" applyAlignment="1">
      <alignment vertical="top" wrapText="1"/>
    </xf>
    <xf numFmtId="0" fontId="76" fillId="0" borderId="0" xfId="0" applyFont="1" applyAlignment="1">
      <alignment vertical="center" wrapText="1"/>
    </xf>
    <xf numFmtId="3" fontId="77" fillId="0" borderId="0" xfId="0" applyNumberFormat="1" applyFont="1" applyAlignment="1">
      <alignment vertical="center" wrapText="1"/>
    </xf>
    <xf numFmtId="169" fontId="76" fillId="0" borderId="3" xfId="16" applyNumberFormat="1" applyFont="1" applyFill="1" applyBorder="1" applyAlignment="1">
      <alignment horizontal="center" vertical="center" wrapText="1"/>
    </xf>
    <xf numFmtId="43" fontId="78" fillId="0" borderId="3" xfId="16" applyFont="1" applyFill="1" applyBorder="1" applyAlignment="1">
      <alignment horizontal="center" vertical="center" wrapText="1"/>
    </xf>
    <xf numFmtId="169" fontId="78" fillId="0" borderId="3" xfId="16" applyNumberFormat="1" applyFont="1" applyFill="1" applyBorder="1" applyAlignment="1">
      <alignment horizontal="center" vertical="center" wrapText="1"/>
    </xf>
    <xf numFmtId="43" fontId="76" fillId="0" borderId="3" xfId="16" applyFont="1" applyFill="1" applyBorder="1" applyAlignment="1">
      <alignment horizontal="justify" vertical="center" wrapText="1"/>
    </xf>
    <xf numFmtId="3" fontId="76" fillId="0" borderId="3" xfId="16" applyNumberFormat="1" applyFont="1" applyFill="1" applyBorder="1" applyAlignment="1">
      <alignment horizontal="center" vertical="center" wrapText="1"/>
    </xf>
    <xf numFmtId="43" fontId="76" fillId="0" borderId="3" xfId="16" applyFont="1" applyFill="1" applyBorder="1" applyAlignment="1">
      <alignment vertical="center" wrapText="1"/>
    </xf>
    <xf numFmtId="0" fontId="76" fillId="6" borderId="3" xfId="0" applyFont="1" applyFill="1" applyBorder="1" applyAlignment="1">
      <alignment horizontal="center" vertical="center" wrapText="1"/>
    </xf>
    <xf numFmtId="43" fontId="76" fillId="6" borderId="3" xfId="16" applyFont="1" applyFill="1" applyBorder="1" applyAlignment="1">
      <alignment horizontal="justify" vertical="center" wrapText="1"/>
    </xf>
    <xf numFmtId="169" fontId="76" fillId="6" borderId="3" xfId="16" applyNumberFormat="1" applyFont="1" applyFill="1" applyBorder="1" applyAlignment="1">
      <alignment horizontal="center" vertical="center" wrapText="1"/>
    </xf>
    <xf numFmtId="43" fontId="76" fillId="6" borderId="3" xfId="1" applyFont="1" applyFill="1" applyBorder="1" applyAlignment="1">
      <alignment vertical="center" wrapText="1"/>
    </xf>
    <xf numFmtId="3" fontId="76" fillId="6" borderId="3" xfId="16" applyNumberFormat="1" applyFont="1" applyFill="1" applyBorder="1" applyAlignment="1">
      <alignment horizontal="right" vertical="center" wrapText="1"/>
    </xf>
    <xf numFmtId="0" fontId="76" fillId="6" borderId="3" xfId="0" applyFont="1" applyFill="1" applyBorder="1" applyAlignment="1">
      <alignment vertical="center" wrapText="1"/>
    </xf>
    <xf numFmtId="0" fontId="76" fillId="6" borderId="0" xfId="0" applyFont="1" applyFill="1" applyAlignment="1">
      <alignment vertical="center" wrapText="1"/>
    </xf>
    <xf numFmtId="0" fontId="77" fillId="0" borderId="3" xfId="0" applyFont="1" applyBorder="1" applyAlignment="1">
      <alignment horizontal="center" vertical="center" wrapText="1"/>
    </xf>
    <xf numFmtId="43" fontId="77" fillId="0" borderId="3" xfId="16" applyFont="1" applyFill="1" applyBorder="1" applyAlignment="1">
      <alignment horizontal="justify" vertical="center" wrapText="1"/>
    </xf>
    <xf numFmtId="169" fontId="77" fillId="0" borderId="3" xfId="16" applyNumberFormat="1" applyFont="1" applyFill="1" applyBorder="1" applyAlignment="1">
      <alignment horizontal="center" vertical="center" wrapText="1"/>
    </xf>
    <xf numFmtId="43" fontId="77" fillId="0" borderId="3" xfId="1" applyFont="1" applyFill="1" applyBorder="1" applyAlignment="1">
      <alignment vertical="center" wrapText="1"/>
    </xf>
    <xf numFmtId="169" fontId="77" fillId="0" borderId="3" xfId="16" applyNumberFormat="1" applyFont="1" applyFill="1" applyBorder="1" applyAlignment="1">
      <alignment horizontal="right" vertical="center" wrapText="1"/>
    </xf>
    <xf numFmtId="3" fontId="77" fillId="0" borderId="3" xfId="16" applyNumberFormat="1" applyFont="1" applyFill="1" applyBorder="1" applyAlignment="1">
      <alignment horizontal="right" vertical="center" wrapText="1"/>
    </xf>
    <xf numFmtId="0" fontId="77" fillId="0" borderId="3" xfId="0" applyFont="1" applyBorder="1" applyAlignment="1">
      <alignment vertical="center" wrapText="1"/>
    </xf>
    <xf numFmtId="43" fontId="77" fillId="0" borderId="3" xfId="16" applyFont="1" applyFill="1" applyBorder="1" applyAlignment="1">
      <alignment horizontal="left" vertical="center" wrapText="1"/>
    </xf>
    <xf numFmtId="174" fontId="77" fillId="0" borderId="3" xfId="18" applyNumberFormat="1" applyFont="1" applyBorder="1" applyAlignment="1">
      <alignment horizontal="left" vertical="center" wrapText="1"/>
    </xf>
    <xf numFmtId="0" fontId="77" fillId="0" borderId="3" xfId="0" applyFont="1" applyBorder="1" applyAlignment="1">
      <alignment vertical="center"/>
    </xf>
    <xf numFmtId="3" fontId="77" fillId="0" borderId="3" xfId="16" applyNumberFormat="1" applyFont="1" applyFill="1" applyBorder="1" applyAlignment="1">
      <alignment vertical="center" wrapText="1"/>
    </xf>
    <xf numFmtId="169" fontId="77" fillId="0" borderId="3" xfId="16" applyNumberFormat="1" applyFont="1" applyFill="1" applyBorder="1" applyAlignment="1">
      <alignment vertical="center" wrapText="1"/>
    </xf>
    <xf numFmtId="0" fontId="77" fillId="0" borderId="3" xfId="0" applyFont="1" applyBorder="1" applyAlignment="1">
      <alignment horizontal="center" vertical="center"/>
    </xf>
    <xf numFmtId="169" fontId="77" fillId="0" borderId="3" xfId="0" applyNumberFormat="1" applyFont="1" applyBorder="1" applyAlignment="1">
      <alignment horizontal="center" vertical="center"/>
    </xf>
    <xf numFmtId="175" fontId="77" fillId="0" borderId="3" xfId="0" applyNumberFormat="1" applyFont="1" applyBorder="1" applyAlignment="1">
      <alignment vertical="center"/>
    </xf>
    <xf numFmtId="174" fontId="77" fillId="0" borderId="3" xfId="0" applyNumberFormat="1" applyFont="1" applyBorder="1" applyAlignment="1">
      <alignment vertical="center"/>
    </xf>
    <xf numFmtId="3" fontId="77" fillId="0" borderId="3" xfId="1" applyNumberFormat="1" applyFont="1" applyFill="1" applyBorder="1" applyAlignment="1">
      <alignment horizontal="right" vertical="center" wrapText="1"/>
    </xf>
    <xf numFmtId="174" fontId="77" fillId="0" borderId="3" xfId="0" applyNumberFormat="1" applyFont="1" applyBorder="1" applyAlignment="1">
      <alignment horizontal="center" vertical="center"/>
    </xf>
    <xf numFmtId="174" fontId="77" fillId="0" borderId="3" xfId="18" applyNumberFormat="1" applyFont="1" applyBorder="1" applyAlignment="1">
      <alignment horizontal="justify" vertical="center" wrapText="1"/>
    </xf>
    <xf numFmtId="174" fontId="78" fillId="0" borderId="3" xfId="18" applyNumberFormat="1" applyFont="1" applyBorder="1" applyAlignment="1">
      <alignment horizontal="justify" vertical="center" wrapText="1"/>
    </xf>
    <xf numFmtId="174" fontId="78" fillId="0" borderId="3" xfId="0" applyNumberFormat="1" applyFont="1" applyBorder="1" applyAlignment="1">
      <alignment horizontal="center" vertical="center"/>
    </xf>
    <xf numFmtId="174" fontId="78" fillId="0" borderId="3" xfId="0" applyNumberFormat="1" applyFont="1" applyBorder="1" applyAlignment="1">
      <alignment vertical="center"/>
    </xf>
    <xf numFmtId="3" fontId="78" fillId="0" borderId="3" xfId="1" applyNumberFormat="1" applyFont="1" applyFill="1" applyBorder="1" applyAlignment="1">
      <alignment horizontal="right" vertical="center" wrapText="1"/>
    </xf>
    <xf numFmtId="3" fontId="78" fillId="0" borderId="3" xfId="16" applyNumberFormat="1" applyFont="1" applyFill="1" applyBorder="1" applyAlignment="1">
      <alignment horizontal="right" vertical="center" wrapText="1"/>
    </xf>
    <xf numFmtId="0" fontId="78" fillId="0" borderId="3" xfId="0" applyFont="1" applyBorder="1" applyAlignment="1">
      <alignment vertical="center" wrapText="1"/>
    </xf>
    <xf numFmtId="174" fontId="78" fillId="0" borderId="3" xfId="18" applyNumberFormat="1" applyFont="1" applyBorder="1" applyAlignment="1">
      <alignment horizontal="left" vertical="center" wrapText="1"/>
    </xf>
    <xf numFmtId="0" fontId="76" fillId="7" borderId="3" xfId="0" applyFont="1" applyFill="1" applyBorder="1" applyAlignment="1">
      <alignment horizontal="center" vertical="center" wrapText="1"/>
    </xf>
    <xf numFmtId="169" fontId="76" fillId="7" borderId="3" xfId="16" applyNumberFormat="1" applyFont="1" applyFill="1" applyBorder="1" applyAlignment="1">
      <alignment horizontal="justify" vertical="center" wrapText="1"/>
    </xf>
    <xf numFmtId="169" fontId="76" fillId="7" borderId="3" xfId="16" applyNumberFormat="1" applyFont="1" applyFill="1" applyBorder="1" applyAlignment="1">
      <alignment horizontal="center" vertical="center" wrapText="1"/>
    </xf>
    <xf numFmtId="173" fontId="76" fillId="7" borderId="3" xfId="16" applyNumberFormat="1" applyFont="1" applyFill="1" applyBorder="1" applyAlignment="1">
      <alignment vertical="center" wrapText="1"/>
    </xf>
    <xf numFmtId="3" fontId="76" fillId="7" borderId="3" xfId="1" applyNumberFormat="1" applyFont="1" applyFill="1" applyBorder="1" applyAlignment="1">
      <alignment horizontal="right" vertical="center" wrapText="1"/>
    </xf>
    <xf numFmtId="3" fontId="76" fillId="7" borderId="3" xfId="0" applyNumberFormat="1" applyFont="1" applyFill="1" applyBorder="1" applyAlignment="1">
      <alignment horizontal="center" vertical="center" wrapText="1"/>
    </xf>
    <xf numFmtId="0" fontId="76" fillId="7" borderId="0" xfId="0" applyFont="1" applyFill="1" applyAlignment="1">
      <alignment horizontal="center" vertical="center" wrapText="1"/>
    </xf>
    <xf numFmtId="174" fontId="76" fillId="0" borderId="3" xfId="18" applyNumberFormat="1" applyFont="1" applyBorder="1" applyAlignment="1">
      <alignment horizontal="justify" vertical="center" wrapText="1"/>
    </xf>
    <xf numFmtId="43" fontId="76" fillId="0" borderId="3" xfId="1" applyFont="1" applyFill="1" applyBorder="1" applyAlignment="1">
      <alignment vertical="center" wrapText="1"/>
    </xf>
    <xf numFmtId="3" fontId="76" fillId="0" borderId="3" xfId="1" applyNumberFormat="1" applyFont="1" applyFill="1" applyBorder="1" applyAlignment="1">
      <alignment horizontal="right" vertical="center" wrapText="1"/>
    </xf>
    <xf numFmtId="0" fontId="85" fillId="0" borderId="3" xfId="0" applyFont="1" applyBorder="1" applyAlignment="1">
      <alignment horizontal="center" vertical="center" wrapText="1"/>
    </xf>
    <xf numFmtId="176" fontId="85" fillId="0" borderId="3" xfId="16" applyNumberFormat="1" applyFont="1" applyFill="1" applyBorder="1" applyAlignment="1">
      <alignment horizontal="justify" vertical="center" wrapText="1"/>
    </xf>
    <xf numFmtId="169" fontId="85" fillId="0" borderId="3" xfId="16" applyNumberFormat="1" applyFont="1" applyFill="1" applyBorder="1" applyAlignment="1">
      <alignment horizontal="center" vertical="center" wrapText="1"/>
    </xf>
    <xf numFmtId="177" fontId="85" fillId="0" borderId="3" xfId="16" applyNumberFormat="1" applyFont="1" applyFill="1" applyBorder="1" applyAlignment="1">
      <alignment vertical="center" wrapText="1"/>
    </xf>
    <xf numFmtId="3" fontId="85" fillId="0" borderId="3" xfId="16" applyNumberFormat="1" applyFont="1" applyFill="1" applyBorder="1" applyAlignment="1">
      <alignment horizontal="right" vertical="center" wrapText="1"/>
    </xf>
    <xf numFmtId="3" fontId="85" fillId="0" borderId="3" xfId="1" applyNumberFormat="1" applyFont="1" applyFill="1" applyBorder="1" applyAlignment="1">
      <alignment horizontal="right" vertical="center" wrapText="1"/>
    </xf>
    <xf numFmtId="0" fontId="85" fillId="0" borderId="3" xfId="0" applyFont="1" applyBorder="1" applyAlignment="1">
      <alignment vertical="center" wrapText="1"/>
    </xf>
    <xf numFmtId="3" fontId="85" fillId="0" borderId="0" xfId="0" applyNumberFormat="1" applyFont="1" applyAlignment="1">
      <alignment vertical="center" wrapText="1"/>
    </xf>
    <xf numFmtId="0" fontId="85" fillId="0" borderId="0" xfId="0" applyFont="1" applyAlignment="1">
      <alignment vertical="center" wrapText="1"/>
    </xf>
    <xf numFmtId="0" fontId="86" fillId="0" borderId="3" xfId="0" applyFont="1" applyBorder="1" applyAlignment="1">
      <alignment horizontal="center" vertical="center" wrapText="1"/>
    </xf>
    <xf numFmtId="174" fontId="86" fillId="0" borderId="3" xfId="18" applyNumberFormat="1" applyFont="1" applyBorder="1" applyAlignment="1">
      <alignment horizontal="justify" vertical="center" wrapText="1"/>
    </xf>
    <xf numFmtId="174" fontId="86" fillId="0" borderId="3" xfId="17" applyNumberFormat="1" applyFont="1" applyBorder="1" applyAlignment="1">
      <alignment horizontal="center" vertical="center"/>
    </xf>
    <xf numFmtId="176" fontId="86" fillId="0" borderId="3" xfId="1" applyNumberFormat="1" applyFont="1" applyFill="1" applyBorder="1" applyAlignment="1">
      <alignment vertical="center"/>
    </xf>
    <xf numFmtId="3" fontId="86" fillId="0" borderId="3" xfId="16" applyNumberFormat="1" applyFont="1" applyFill="1" applyBorder="1" applyAlignment="1">
      <alignment horizontal="right" vertical="center" wrapText="1"/>
    </xf>
    <xf numFmtId="3" fontId="86" fillId="0" borderId="3" xfId="0" applyNumberFormat="1" applyFont="1" applyBorder="1" applyAlignment="1">
      <alignment horizontal="right" vertical="center" wrapText="1"/>
    </xf>
    <xf numFmtId="0" fontId="86" fillId="0" borderId="3" xfId="0" applyFont="1" applyBorder="1" applyAlignment="1">
      <alignment vertical="center" wrapText="1"/>
    </xf>
    <xf numFmtId="0" fontId="86" fillId="0" borderId="0" xfId="0" applyFont="1" applyAlignment="1">
      <alignment vertical="center" wrapText="1"/>
    </xf>
    <xf numFmtId="169" fontId="85" fillId="0" borderId="3" xfId="16" applyNumberFormat="1" applyFont="1" applyFill="1" applyBorder="1" applyAlignment="1">
      <alignment vertical="center" wrapText="1"/>
    </xf>
    <xf numFmtId="0" fontId="85" fillId="0" borderId="3" xfId="0" applyFont="1" applyBorder="1" applyAlignment="1">
      <alignment horizontal="center" vertical="center"/>
    </xf>
    <xf numFmtId="2" fontId="85" fillId="0" borderId="3" xfId="0" applyNumberFormat="1" applyFont="1" applyBorder="1" applyAlignment="1">
      <alignment vertical="center"/>
    </xf>
    <xf numFmtId="3" fontId="85" fillId="0" borderId="3" xfId="0" applyNumberFormat="1" applyFont="1" applyBorder="1" applyAlignment="1">
      <alignment horizontal="right" vertical="center"/>
    </xf>
    <xf numFmtId="3" fontId="85" fillId="0" borderId="3" xfId="1" applyNumberFormat="1" applyFont="1" applyFill="1" applyBorder="1" applyAlignment="1">
      <alignment vertical="center"/>
    </xf>
    <xf numFmtId="174" fontId="77" fillId="0" borderId="3" xfId="17" applyNumberFormat="1" applyFont="1" applyBorder="1" applyAlignment="1">
      <alignment horizontal="center" vertical="center"/>
    </xf>
    <xf numFmtId="43" fontId="77" fillId="0" borderId="3" xfId="1" applyFont="1" applyFill="1" applyBorder="1" applyAlignment="1">
      <alignment vertical="center"/>
    </xf>
    <xf numFmtId="0" fontId="76" fillId="0" borderId="3" xfId="0" applyFont="1" applyBorder="1" applyAlignment="1">
      <alignment horizontal="center" vertical="center"/>
    </xf>
    <xf numFmtId="0" fontId="76" fillId="0" borderId="3" xfId="0" applyFont="1" applyBorder="1" applyAlignment="1">
      <alignment vertical="center"/>
    </xf>
    <xf numFmtId="3" fontId="76" fillId="0" borderId="3" xfId="16" applyNumberFormat="1" applyFont="1" applyFill="1" applyBorder="1" applyAlignment="1">
      <alignment horizontal="right" vertical="center" wrapText="1"/>
    </xf>
    <xf numFmtId="3" fontId="76" fillId="0" borderId="3" xfId="1" applyNumberFormat="1" applyFont="1" applyFill="1" applyBorder="1" applyAlignment="1">
      <alignment horizontal="right" vertical="center"/>
    </xf>
    <xf numFmtId="0" fontId="86" fillId="0" borderId="3" xfId="0" quotePrefix="1" applyFont="1" applyBorder="1" applyAlignment="1">
      <alignment horizontal="center" vertical="center" wrapText="1"/>
    </xf>
    <xf numFmtId="169" fontId="86" fillId="0" borderId="3" xfId="0" applyNumberFormat="1" applyFont="1" applyBorder="1" applyAlignment="1">
      <alignment horizontal="center" vertical="center"/>
    </xf>
    <xf numFmtId="0" fontId="86" fillId="0" borderId="3" xfId="0" applyFont="1" applyBorder="1" applyAlignment="1">
      <alignment vertical="center"/>
    </xf>
    <xf numFmtId="169" fontId="86" fillId="0" borderId="0" xfId="0" applyNumberFormat="1" applyFont="1" applyAlignment="1">
      <alignment vertical="center" wrapText="1"/>
    </xf>
    <xf numFmtId="0" fontId="86" fillId="0" borderId="3" xfId="0" applyFont="1" applyBorder="1" applyAlignment="1">
      <alignment horizontal="center" vertical="center"/>
    </xf>
    <xf numFmtId="174" fontId="76" fillId="0" borderId="3" xfId="18" quotePrefix="1" applyNumberFormat="1" applyFont="1" applyBorder="1" applyAlignment="1">
      <alignment horizontal="justify" vertical="center" wrapText="1"/>
    </xf>
    <xf numFmtId="174" fontId="76" fillId="0" borderId="3" xfId="17" applyNumberFormat="1" applyFont="1" applyBorder="1" applyAlignment="1">
      <alignment horizontal="center" vertical="center"/>
    </xf>
    <xf numFmtId="3" fontId="76" fillId="0" borderId="3" xfId="0" quotePrefix="1" applyNumberFormat="1" applyFont="1" applyBorder="1" applyAlignment="1">
      <alignment horizontal="right" vertical="center" wrapText="1"/>
    </xf>
    <xf numFmtId="3" fontId="76" fillId="0" borderId="3" xfId="0" applyNumberFormat="1" applyFont="1" applyBorder="1" applyAlignment="1">
      <alignment horizontal="right" vertical="center" wrapText="1"/>
    </xf>
    <xf numFmtId="3" fontId="86" fillId="0" borderId="3" xfId="16" applyNumberFormat="1" applyFont="1" applyFill="1" applyBorder="1" applyAlignment="1">
      <alignment horizontal="center" vertical="center" wrapText="1"/>
    </xf>
    <xf numFmtId="43" fontId="86" fillId="0" borderId="3" xfId="1" applyFont="1" applyFill="1" applyBorder="1" applyAlignment="1">
      <alignment vertical="center" wrapText="1"/>
    </xf>
    <xf numFmtId="169" fontId="86" fillId="0" borderId="3" xfId="16" applyNumberFormat="1" applyFont="1" applyFill="1" applyBorder="1" applyAlignment="1">
      <alignment horizontal="justify" vertical="center" wrapText="1"/>
    </xf>
    <xf numFmtId="1" fontId="86" fillId="0" borderId="3" xfId="0" applyNumberFormat="1" applyFont="1" applyBorder="1" applyAlignment="1">
      <alignment horizontal="center" vertical="center"/>
    </xf>
    <xf numFmtId="174" fontId="76" fillId="0" borderId="3" xfId="18" applyNumberFormat="1" applyFont="1" applyBorder="1" applyAlignment="1">
      <alignment horizontal="left" vertical="center" wrapText="1"/>
    </xf>
    <xf numFmtId="169" fontId="76" fillId="0" borderId="3" xfId="1" applyNumberFormat="1" applyFont="1" applyFill="1" applyBorder="1" applyAlignment="1">
      <alignment horizontal="center" vertical="center"/>
    </xf>
    <xf numFmtId="43" fontId="76" fillId="0" borderId="3" xfId="1" applyFont="1" applyFill="1" applyBorder="1" applyAlignment="1">
      <alignment vertical="center"/>
    </xf>
    <xf numFmtId="3" fontId="76" fillId="0" borderId="0" xfId="0" applyNumberFormat="1" applyFont="1" applyAlignment="1">
      <alignment vertical="center" wrapText="1"/>
    </xf>
    <xf numFmtId="0" fontId="76" fillId="0" borderId="3" xfId="0" quotePrefix="1" applyFont="1" applyBorder="1" applyAlignment="1">
      <alignment horizontal="center" vertical="center" wrapText="1"/>
    </xf>
    <xf numFmtId="0" fontId="76" fillId="0" borderId="3" xfId="12" applyFont="1" applyBorder="1" applyAlignment="1">
      <alignment vertical="center"/>
    </xf>
    <xf numFmtId="0" fontId="86" fillId="0" borderId="3" xfId="12" applyFont="1" applyBorder="1" applyAlignment="1">
      <alignment horizontal="center" vertical="center"/>
    </xf>
    <xf numFmtId="0" fontId="86" fillId="0" borderId="3" xfId="12" quotePrefix="1" applyFont="1" applyBorder="1" applyAlignment="1">
      <alignment vertical="center" wrapText="1"/>
    </xf>
    <xf numFmtId="0" fontId="76" fillId="0" borderId="3" xfId="12" quotePrefix="1" applyFont="1" applyBorder="1" applyAlignment="1">
      <alignment horizontal="center" vertical="center"/>
    </xf>
    <xf numFmtId="0" fontId="76" fillId="0" borderId="3" xfId="19" applyFont="1" applyBorder="1" applyAlignment="1">
      <alignment vertical="center" wrapText="1"/>
    </xf>
    <xf numFmtId="0" fontId="76" fillId="0" borderId="3" xfId="19" applyFont="1" applyBorder="1" applyAlignment="1">
      <alignment horizontal="center" vertical="center"/>
    </xf>
    <xf numFmtId="0" fontId="76" fillId="0" borderId="3" xfId="12" applyFont="1" applyBorder="1" applyAlignment="1">
      <alignment horizontal="center" vertical="center"/>
    </xf>
    <xf numFmtId="0" fontId="76" fillId="0" borderId="3" xfId="19" applyFont="1" applyBorder="1" applyAlignment="1">
      <alignment vertical="center"/>
    </xf>
    <xf numFmtId="0" fontId="86" fillId="0" borderId="3" xfId="12" quotePrefix="1" applyFont="1" applyBorder="1" applyAlignment="1">
      <alignment horizontal="center" vertical="center"/>
    </xf>
    <xf numFmtId="0" fontId="86" fillId="0" borderId="3" xfId="19" applyFont="1" applyBorder="1" applyAlignment="1">
      <alignment vertical="center" wrapText="1"/>
    </xf>
    <xf numFmtId="0" fontId="86" fillId="0" borderId="3" xfId="19" applyFont="1" applyBorder="1" applyAlignment="1">
      <alignment horizontal="center" vertical="center"/>
    </xf>
    <xf numFmtId="0" fontId="86" fillId="0" borderId="3" xfId="19" applyFont="1" applyBorder="1" applyAlignment="1">
      <alignment vertical="center"/>
    </xf>
    <xf numFmtId="0" fontId="76" fillId="0" borderId="3" xfId="5" applyFont="1" applyBorder="1" applyAlignment="1">
      <alignment vertical="center" wrapText="1"/>
    </xf>
    <xf numFmtId="176" fontId="76" fillId="0" borderId="3" xfId="19" applyNumberFormat="1" applyFont="1" applyBorder="1" applyAlignment="1">
      <alignment vertical="center"/>
    </xf>
    <xf numFmtId="169" fontId="76" fillId="6" borderId="3" xfId="16" applyNumberFormat="1" applyFont="1" applyFill="1" applyBorder="1" applyAlignment="1">
      <alignment horizontal="justify" vertical="center" wrapText="1"/>
    </xf>
    <xf numFmtId="173" fontId="76" fillId="6" borderId="3" xfId="16" applyNumberFormat="1" applyFont="1" applyFill="1" applyBorder="1" applyAlignment="1">
      <alignment vertical="center" wrapText="1"/>
    </xf>
    <xf numFmtId="3" fontId="76" fillId="6" borderId="3" xfId="1" applyNumberFormat="1" applyFont="1" applyFill="1" applyBorder="1" applyAlignment="1">
      <alignment horizontal="right" vertical="center" wrapText="1"/>
    </xf>
    <xf numFmtId="0" fontId="77" fillId="6" borderId="3" xfId="0" applyFont="1" applyFill="1" applyBorder="1" applyAlignment="1">
      <alignment horizontal="center" vertical="center" wrapText="1"/>
    </xf>
    <xf numFmtId="0" fontId="77" fillId="6" borderId="0" xfId="0" applyFont="1" applyFill="1" applyAlignment="1">
      <alignment horizontal="center" vertical="center" wrapText="1"/>
    </xf>
    <xf numFmtId="0" fontId="77" fillId="0" borderId="0" xfId="0" applyFont="1" applyAlignment="1">
      <alignment horizontal="center" vertical="center" wrapText="1"/>
    </xf>
    <xf numFmtId="174" fontId="77" fillId="0" borderId="3" xfId="18" quotePrefix="1" applyNumberFormat="1" applyFont="1" applyBorder="1" applyAlignment="1">
      <alignment horizontal="center" vertical="center" wrapText="1"/>
    </xf>
    <xf numFmtId="173" fontId="77" fillId="0" borderId="3" xfId="16" applyNumberFormat="1" applyFont="1" applyFill="1" applyBorder="1" applyAlignment="1">
      <alignment vertical="center" wrapText="1"/>
    </xf>
    <xf numFmtId="174" fontId="78" fillId="0" borderId="3" xfId="18" quotePrefix="1" applyNumberFormat="1" applyFont="1" applyBorder="1" applyAlignment="1">
      <alignment horizontal="center" vertical="center" wrapText="1"/>
    </xf>
    <xf numFmtId="169" fontId="77" fillId="0" borderId="3" xfId="16" applyNumberFormat="1" applyFont="1" applyFill="1" applyBorder="1" applyAlignment="1">
      <alignment horizontal="justify" vertical="center" wrapText="1"/>
    </xf>
    <xf numFmtId="0" fontId="78" fillId="0" borderId="3" xfId="0" applyFont="1" applyBorder="1" applyAlignment="1">
      <alignment horizontal="left" vertical="center" wrapText="1"/>
    </xf>
    <xf numFmtId="169" fontId="78" fillId="0" borderId="3" xfId="16" applyNumberFormat="1" applyFont="1" applyFill="1" applyBorder="1" applyAlignment="1">
      <alignment horizontal="justify" vertical="center" wrapText="1"/>
    </xf>
    <xf numFmtId="174" fontId="78" fillId="0" borderId="3" xfId="17" applyNumberFormat="1" applyFont="1" applyBorder="1" applyAlignment="1">
      <alignment horizontal="center" vertical="center" wrapText="1"/>
    </xf>
    <xf numFmtId="43" fontId="78" fillId="0" borderId="3" xfId="16" applyFont="1" applyFill="1" applyBorder="1" applyAlignment="1">
      <alignment vertical="center" wrapText="1"/>
    </xf>
    <xf numFmtId="0" fontId="78" fillId="0" borderId="0" xfId="0" applyFont="1" applyAlignment="1">
      <alignment horizontal="center" vertical="center" wrapText="1"/>
    </xf>
    <xf numFmtId="174" fontId="77" fillId="0" borderId="3" xfId="17" applyNumberFormat="1" applyFont="1" applyBorder="1" applyAlignment="1">
      <alignment horizontal="center" vertical="center" wrapText="1"/>
    </xf>
    <xf numFmtId="43" fontId="77" fillId="0" borderId="3" xfId="16" applyFont="1" applyFill="1" applyBorder="1" applyAlignment="1">
      <alignment vertical="center" wrapText="1"/>
    </xf>
    <xf numFmtId="176" fontId="86" fillId="0" borderId="3" xfId="16" applyNumberFormat="1" applyFont="1" applyFill="1" applyBorder="1" applyAlignment="1">
      <alignment horizontal="justify" vertical="center" wrapText="1"/>
    </xf>
    <xf numFmtId="4" fontId="77" fillId="0" borderId="3" xfId="16" applyNumberFormat="1" applyFont="1" applyFill="1" applyBorder="1" applyAlignment="1">
      <alignment vertical="center" wrapText="1"/>
    </xf>
    <xf numFmtId="175" fontId="77" fillId="0" borderId="3" xfId="17" applyNumberFormat="1" applyFont="1" applyBorder="1" applyAlignment="1">
      <alignment vertical="center"/>
    </xf>
    <xf numFmtId="176" fontId="77" fillId="0" borderId="3" xfId="1" applyNumberFormat="1" applyFont="1" applyFill="1" applyBorder="1" applyAlignment="1">
      <alignment vertical="center"/>
    </xf>
    <xf numFmtId="178" fontId="77" fillId="0" borderId="3" xfId="1" applyNumberFormat="1" applyFont="1" applyFill="1" applyBorder="1" applyAlignment="1">
      <alignment vertical="center"/>
    </xf>
    <xf numFmtId="3" fontId="77" fillId="0" borderId="3" xfId="1" applyNumberFormat="1" applyFont="1" applyFill="1" applyBorder="1" applyAlignment="1">
      <alignment horizontal="right" vertical="center"/>
    </xf>
    <xf numFmtId="0" fontId="77" fillId="0" borderId="3" xfId="0" quotePrefix="1" applyFont="1" applyBorder="1" applyAlignment="1">
      <alignment horizontal="center" vertical="center" wrapText="1"/>
    </xf>
    <xf numFmtId="0" fontId="77" fillId="0" borderId="3" xfId="0" applyFont="1" applyBorder="1" applyAlignment="1">
      <alignment horizontal="justify" vertical="center" wrapText="1"/>
    </xf>
    <xf numFmtId="169" fontId="77" fillId="0" borderId="3" xfId="20" applyNumberFormat="1" applyFont="1" applyFill="1" applyBorder="1" applyAlignment="1">
      <alignment vertical="center" wrapText="1"/>
    </xf>
    <xf numFmtId="3" fontId="77" fillId="0" borderId="3" xfId="17" applyNumberFormat="1" applyFont="1" applyBorder="1" applyAlignment="1">
      <alignment horizontal="right" vertical="center" wrapText="1"/>
    </xf>
    <xf numFmtId="169" fontId="78" fillId="0" borderId="3" xfId="20" applyNumberFormat="1" applyFont="1" applyFill="1" applyBorder="1" applyAlignment="1">
      <alignment vertical="center" wrapText="1"/>
    </xf>
    <xf numFmtId="3" fontId="78" fillId="0" borderId="3" xfId="17" applyNumberFormat="1" applyFont="1" applyBorder="1" applyAlignment="1">
      <alignment horizontal="right" vertical="center" wrapText="1"/>
    </xf>
    <xf numFmtId="0" fontId="77" fillId="0" borderId="3" xfId="17" applyFont="1" applyBorder="1" applyAlignment="1">
      <alignment horizontal="center" vertical="center"/>
    </xf>
    <xf numFmtId="0" fontId="77" fillId="0" borderId="3" xfId="17" applyFont="1" applyBorder="1" applyAlignment="1">
      <alignment vertical="center"/>
    </xf>
    <xf numFmtId="3" fontId="78" fillId="0" borderId="3" xfId="0" applyNumberFormat="1" applyFont="1" applyBorder="1" applyAlignment="1">
      <alignment horizontal="right" vertical="center" wrapText="1"/>
    </xf>
    <xf numFmtId="176" fontId="76" fillId="6" borderId="3" xfId="16" applyNumberFormat="1" applyFont="1" applyFill="1" applyBorder="1" applyAlignment="1">
      <alignment vertical="center" wrapText="1"/>
    </xf>
    <xf numFmtId="0" fontId="77" fillId="6" borderId="3" xfId="0" applyFont="1" applyFill="1" applyBorder="1" applyAlignment="1">
      <alignment vertical="center" wrapText="1"/>
    </xf>
    <xf numFmtId="0" fontId="77" fillId="6" borderId="0" xfId="0" applyFont="1" applyFill="1" applyAlignment="1">
      <alignment vertical="center" wrapText="1"/>
    </xf>
    <xf numFmtId="0" fontId="77" fillId="0" borderId="3" xfId="0" applyFont="1" applyBorder="1" applyAlignment="1">
      <alignment horizontal="left" vertical="center" wrapText="1"/>
    </xf>
    <xf numFmtId="0" fontId="61" fillId="0" borderId="3" xfId="0" applyFont="1" applyBorder="1" applyAlignment="1">
      <alignment horizontal="justify" vertical="center"/>
    </xf>
    <xf numFmtId="3" fontId="77" fillId="0" borderId="3" xfId="0" applyNumberFormat="1" applyFont="1" applyBorder="1" applyAlignment="1">
      <alignment horizontal="right" vertical="center" wrapText="1"/>
    </xf>
    <xf numFmtId="0" fontId="87" fillId="0" borderId="3" xfId="0" applyFont="1" applyBorder="1" applyAlignment="1">
      <alignment vertical="center"/>
    </xf>
    <xf numFmtId="0" fontId="87" fillId="0" borderId="0" xfId="0" applyFont="1" applyAlignment="1">
      <alignment vertical="center"/>
    </xf>
    <xf numFmtId="176" fontId="77" fillId="0" borderId="3" xfId="16" applyNumberFormat="1" applyFont="1" applyFill="1" applyBorder="1" applyAlignment="1">
      <alignment horizontal="center" vertical="center" wrapText="1"/>
    </xf>
    <xf numFmtId="3" fontId="77" fillId="0" borderId="3" xfId="0" applyNumberFormat="1" applyFont="1" applyBorder="1" applyAlignment="1">
      <alignment horizontal="right" vertical="center"/>
    </xf>
    <xf numFmtId="0" fontId="88" fillId="0" borderId="3" xfId="0" applyFont="1" applyBorder="1" applyAlignment="1">
      <alignment vertical="center"/>
    </xf>
    <xf numFmtId="0" fontId="88" fillId="0" borderId="0" xfId="0" applyFont="1" applyAlignment="1">
      <alignment vertical="center"/>
    </xf>
    <xf numFmtId="174" fontId="76" fillId="6" borderId="3" xfId="18" applyNumberFormat="1" applyFont="1" applyFill="1" applyBorder="1" applyAlignment="1">
      <alignment horizontal="center" vertical="center"/>
    </xf>
    <xf numFmtId="174" fontId="76" fillId="6" borderId="3" xfId="18" applyNumberFormat="1" applyFont="1" applyFill="1" applyBorder="1" applyAlignment="1">
      <alignment horizontal="justify" vertical="center" wrapText="1"/>
    </xf>
    <xf numFmtId="174" fontId="76" fillId="6" borderId="3" xfId="17" applyNumberFormat="1" applyFont="1" applyFill="1" applyBorder="1" applyAlignment="1">
      <alignment horizontal="center" vertical="center"/>
    </xf>
    <xf numFmtId="43" fontId="76" fillId="6" borderId="3" xfId="1" applyFont="1" applyFill="1" applyBorder="1" applyAlignment="1">
      <alignment vertical="center"/>
    </xf>
    <xf numFmtId="3" fontId="76" fillId="6" borderId="3" xfId="1" applyNumberFormat="1" applyFont="1" applyFill="1" applyBorder="1" applyAlignment="1">
      <alignment horizontal="right" vertical="center"/>
    </xf>
    <xf numFmtId="174" fontId="77" fillId="0" borderId="7" xfId="18" applyNumberFormat="1" applyFont="1" applyBorder="1" applyAlignment="1">
      <alignment horizontal="left" vertical="center" wrapText="1"/>
    </xf>
    <xf numFmtId="174" fontId="77" fillId="0" borderId="7" xfId="17" applyNumberFormat="1" applyFont="1" applyBorder="1" applyAlignment="1">
      <alignment horizontal="center" vertical="center"/>
    </xf>
    <xf numFmtId="0" fontId="77" fillId="0" borderId="7" xfId="0" applyFont="1" applyBorder="1" applyAlignment="1">
      <alignment horizontal="center" vertical="center"/>
    </xf>
    <xf numFmtId="0" fontId="77" fillId="0" borderId="7" xfId="0" applyFont="1" applyBorder="1" applyAlignment="1">
      <alignment vertical="center"/>
    </xf>
    <xf numFmtId="3" fontId="77" fillId="0" borderId="7" xfId="16" applyNumberFormat="1" applyFont="1" applyFill="1" applyBorder="1" applyAlignment="1">
      <alignment horizontal="right" vertical="center" wrapText="1"/>
    </xf>
    <xf numFmtId="3" fontId="77" fillId="0" borderId="7" xfId="0" applyNumberFormat="1" applyFont="1" applyBorder="1" applyAlignment="1">
      <alignment horizontal="right" vertical="center" wrapText="1"/>
    </xf>
    <xf numFmtId="176" fontId="77" fillId="0" borderId="3" xfId="16" applyNumberFormat="1" applyFont="1" applyFill="1" applyBorder="1" applyAlignment="1">
      <alignment vertical="center" wrapText="1"/>
    </xf>
    <xf numFmtId="169" fontId="77" fillId="0" borderId="3" xfId="1" applyNumberFormat="1" applyFont="1" applyFill="1" applyBorder="1" applyAlignment="1">
      <alignment horizontal="center" vertical="center"/>
    </xf>
    <xf numFmtId="43" fontId="77" fillId="0" borderId="3" xfId="0" applyNumberFormat="1" applyFont="1" applyBorder="1" applyAlignment="1">
      <alignment vertical="center"/>
    </xf>
    <xf numFmtId="0" fontId="61" fillId="0" borderId="3" xfId="0" applyFont="1" applyBorder="1" applyAlignment="1">
      <alignment horizontal="center" vertical="center" wrapText="1"/>
    </xf>
    <xf numFmtId="174" fontId="61" fillId="0" borderId="7" xfId="18" applyNumberFormat="1" applyFont="1" applyBorder="1" applyAlignment="1">
      <alignment horizontal="left" vertical="center" wrapText="1"/>
    </xf>
    <xf numFmtId="174" fontId="61" fillId="0" borderId="7" xfId="17" applyNumberFormat="1" applyFont="1" applyBorder="1" applyAlignment="1">
      <alignment horizontal="center" vertical="center"/>
    </xf>
    <xf numFmtId="0" fontId="61" fillId="0" borderId="3" xfId="0" applyFont="1" applyBorder="1" applyAlignment="1">
      <alignment vertical="center" wrapText="1"/>
    </xf>
    <xf numFmtId="3" fontId="61" fillId="0" borderId="7" xfId="0" applyNumberFormat="1" applyFont="1" applyBorder="1" applyAlignment="1">
      <alignment vertical="center" wrapText="1"/>
    </xf>
    <xf numFmtId="0" fontId="61" fillId="0" borderId="7" xfId="0" applyFont="1" applyBorder="1" applyAlignment="1">
      <alignment horizontal="center" vertical="center"/>
    </xf>
    <xf numFmtId="0" fontId="61" fillId="0" borderId="7" xfId="0" applyFont="1" applyBorder="1" applyAlignment="1">
      <alignment vertical="center"/>
    </xf>
    <xf numFmtId="3" fontId="61" fillId="0" borderId="7" xfId="16" applyNumberFormat="1" applyFont="1" applyFill="1" applyBorder="1" applyAlignment="1">
      <alignment horizontal="right" vertical="center" wrapText="1"/>
    </xf>
    <xf numFmtId="3" fontId="61" fillId="0" borderId="7" xfId="0" applyNumberFormat="1" applyFont="1" applyBorder="1" applyAlignment="1">
      <alignment horizontal="right" vertical="center" wrapText="1"/>
    </xf>
    <xf numFmtId="174" fontId="61" fillId="0" borderId="3" xfId="0" quotePrefix="1" applyNumberFormat="1" applyFont="1" applyBorder="1" applyAlignment="1">
      <alignment horizontal="center" vertical="center" wrapText="1"/>
    </xf>
    <xf numFmtId="174" fontId="61" fillId="0" borderId="7" xfId="17" applyNumberFormat="1" applyFont="1" applyBorder="1" applyAlignment="1">
      <alignment horizontal="center" vertical="center" wrapText="1"/>
    </xf>
    <xf numFmtId="169" fontId="61" fillId="0" borderId="7" xfId="1" applyNumberFormat="1" applyFont="1" applyFill="1" applyBorder="1" applyAlignment="1">
      <alignment horizontal="center" vertical="center"/>
    </xf>
    <xf numFmtId="0" fontId="61" fillId="0" borderId="7" xfId="0" applyFont="1" applyBorder="1" applyAlignment="1">
      <alignment horizontal="justify" vertical="center" wrapText="1"/>
    </xf>
    <xf numFmtId="174" fontId="61" fillId="0" borderId="3" xfId="18" applyNumberFormat="1" applyFont="1" applyBorder="1" applyAlignment="1">
      <alignment horizontal="left" vertical="center" wrapText="1"/>
    </xf>
    <xf numFmtId="43" fontId="76" fillId="6" borderId="3" xfId="16" applyFont="1" applyFill="1" applyBorder="1" applyAlignment="1">
      <alignment vertical="center" wrapText="1"/>
    </xf>
    <xf numFmtId="169" fontId="77" fillId="0" borderId="3" xfId="0" applyNumberFormat="1" applyFont="1" applyBorder="1" applyAlignment="1">
      <alignment vertical="center" wrapText="1"/>
    </xf>
    <xf numFmtId="0" fontId="78" fillId="0" borderId="3" xfId="0" applyFont="1" applyBorder="1" applyAlignment="1">
      <alignment horizontal="center" vertical="center"/>
    </xf>
    <xf numFmtId="0" fontId="78" fillId="0" borderId="3" xfId="0" applyFont="1" applyBorder="1" applyAlignment="1">
      <alignment vertical="center"/>
    </xf>
    <xf numFmtId="0" fontId="78" fillId="0" borderId="3" xfId="0" quotePrefix="1" applyFont="1" applyBorder="1" applyAlignment="1">
      <alignment horizontal="center" vertical="center" wrapText="1"/>
    </xf>
    <xf numFmtId="179" fontId="77" fillId="0" borderId="3" xfId="0" applyNumberFormat="1" applyFont="1" applyBorder="1" applyAlignment="1">
      <alignment vertical="center"/>
    </xf>
    <xf numFmtId="174" fontId="76" fillId="7" borderId="3" xfId="18" applyNumberFormat="1" applyFont="1" applyFill="1" applyBorder="1" applyAlignment="1">
      <alignment horizontal="justify" vertical="center" wrapText="1"/>
    </xf>
    <xf numFmtId="0" fontId="76" fillId="7" borderId="3" xfId="0" applyFont="1" applyFill="1" applyBorder="1" applyAlignment="1">
      <alignment horizontal="center" vertical="center"/>
    </xf>
    <xf numFmtId="169" fontId="76" fillId="7" borderId="3" xfId="1" applyNumberFormat="1" applyFont="1" applyFill="1" applyBorder="1" applyAlignment="1">
      <alignment horizontal="center" vertical="center"/>
    </xf>
    <xf numFmtId="169" fontId="76" fillId="7" borderId="3" xfId="1" applyNumberFormat="1" applyFont="1" applyFill="1" applyBorder="1" applyAlignment="1">
      <alignment vertical="center"/>
    </xf>
    <xf numFmtId="169" fontId="76" fillId="7" borderId="3" xfId="1" applyNumberFormat="1" applyFont="1" applyFill="1" applyBorder="1" applyAlignment="1">
      <alignment horizontal="right" vertical="center" wrapText="1"/>
    </xf>
    <xf numFmtId="3" fontId="76" fillId="7" borderId="3" xfId="16" applyNumberFormat="1" applyFont="1" applyFill="1" applyBorder="1" applyAlignment="1">
      <alignment horizontal="right" vertical="center" wrapText="1"/>
    </xf>
    <xf numFmtId="3" fontId="76" fillId="7" borderId="3" xfId="0" applyNumberFormat="1" applyFont="1" applyFill="1" applyBorder="1" applyAlignment="1">
      <alignment horizontal="right" vertical="center" wrapText="1"/>
    </xf>
    <xf numFmtId="0" fontId="76" fillId="7" borderId="3" xfId="0" applyFont="1" applyFill="1" applyBorder="1" applyAlignment="1">
      <alignment vertical="center" wrapText="1"/>
    </xf>
    <xf numFmtId="0" fontId="76" fillId="7" borderId="0" xfId="0" applyFont="1" applyFill="1" applyAlignment="1">
      <alignment vertical="center" wrapText="1"/>
    </xf>
    <xf numFmtId="176" fontId="76" fillId="0" borderId="3" xfId="16" applyNumberFormat="1" applyFont="1" applyFill="1" applyBorder="1" applyAlignment="1">
      <alignment vertical="center" wrapText="1"/>
    </xf>
    <xf numFmtId="3" fontId="76" fillId="0" borderId="3" xfId="16" applyNumberFormat="1" applyFont="1" applyFill="1" applyBorder="1" applyAlignment="1">
      <alignment vertical="center" wrapText="1"/>
    </xf>
    <xf numFmtId="176" fontId="85" fillId="0" borderId="3" xfId="16" applyNumberFormat="1" applyFont="1" applyFill="1" applyBorder="1" applyAlignment="1">
      <alignment vertical="center" wrapText="1"/>
    </xf>
    <xf numFmtId="43" fontId="85" fillId="0" borderId="3" xfId="16" applyFont="1" applyFill="1" applyBorder="1" applyAlignment="1">
      <alignment vertical="center" wrapText="1"/>
    </xf>
    <xf numFmtId="3" fontId="85" fillId="0" borderId="3" xfId="16" applyNumberFormat="1" applyFont="1" applyFill="1" applyBorder="1" applyAlignment="1">
      <alignment vertical="center" wrapText="1"/>
    </xf>
    <xf numFmtId="179" fontId="77" fillId="0" borderId="3" xfId="17" applyNumberFormat="1" applyFont="1" applyBorder="1" applyAlignment="1">
      <alignment vertical="center"/>
    </xf>
    <xf numFmtId="179" fontId="77" fillId="0" borderId="3" xfId="1" applyNumberFormat="1" applyFont="1" applyFill="1" applyBorder="1" applyAlignment="1">
      <alignment vertical="center"/>
    </xf>
    <xf numFmtId="174" fontId="77" fillId="0" borderId="3" xfId="18" applyNumberFormat="1" applyFont="1" applyBorder="1" applyAlignment="1">
      <alignment vertical="center" wrapText="1"/>
    </xf>
    <xf numFmtId="0" fontId="76" fillId="6" borderId="3" xfId="0" applyFont="1" applyFill="1" applyBorder="1" applyAlignment="1">
      <alignment horizontal="center" vertical="center"/>
    </xf>
    <xf numFmtId="169" fontId="78" fillId="0" borderId="3" xfId="16" applyNumberFormat="1" applyFont="1" applyFill="1" applyBorder="1" applyAlignment="1">
      <alignment vertical="center" wrapText="1"/>
    </xf>
    <xf numFmtId="174" fontId="78" fillId="0" borderId="3" xfId="17" applyNumberFormat="1" applyFont="1" applyBorder="1" applyAlignment="1">
      <alignment horizontal="center" vertical="center"/>
    </xf>
    <xf numFmtId="169" fontId="76" fillId="0" borderId="3" xfId="16" applyNumberFormat="1" applyFont="1" applyFill="1" applyBorder="1" applyAlignment="1">
      <alignment vertical="center" wrapText="1"/>
    </xf>
    <xf numFmtId="0" fontId="76" fillId="5" borderId="3" xfId="0" applyFont="1" applyFill="1" applyBorder="1" applyAlignment="1">
      <alignment horizontal="center" vertical="center" wrapText="1"/>
    </xf>
    <xf numFmtId="169" fontId="76" fillId="5" borderId="3" xfId="16" applyNumberFormat="1" applyFont="1" applyFill="1" applyBorder="1" applyAlignment="1">
      <alignment horizontal="justify" vertical="center" wrapText="1"/>
    </xf>
    <xf numFmtId="0" fontId="76" fillId="5" borderId="3" xfId="0" applyFont="1" applyFill="1" applyBorder="1" applyAlignment="1">
      <alignment horizontal="center" vertical="center"/>
    </xf>
    <xf numFmtId="169" fontId="76" fillId="5" borderId="3" xfId="16" applyNumberFormat="1" applyFont="1" applyFill="1" applyBorder="1" applyAlignment="1">
      <alignment horizontal="center" vertical="center" wrapText="1"/>
    </xf>
    <xf numFmtId="43" fontId="76" fillId="5" borderId="3" xfId="16" applyFont="1" applyFill="1" applyBorder="1" applyAlignment="1">
      <alignment vertical="center" wrapText="1"/>
    </xf>
    <xf numFmtId="169" fontId="76" fillId="5" borderId="3" xfId="0" applyNumberFormat="1" applyFont="1" applyFill="1" applyBorder="1" applyAlignment="1">
      <alignment vertical="center" wrapText="1"/>
    </xf>
    <xf numFmtId="169" fontId="76" fillId="5" borderId="0" xfId="1" applyNumberFormat="1" applyFont="1" applyFill="1" applyAlignment="1">
      <alignment vertical="center" wrapText="1"/>
    </xf>
    <xf numFmtId="169" fontId="76" fillId="5" borderId="0" xfId="0" applyNumberFormat="1" applyFont="1" applyFill="1" applyAlignment="1">
      <alignment vertical="center" wrapText="1"/>
    </xf>
    <xf numFmtId="0" fontId="76" fillId="5" borderId="0" xfId="0" applyFont="1" applyFill="1" applyAlignment="1">
      <alignment vertical="center" wrapText="1"/>
    </xf>
    <xf numFmtId="169" fontId="77" fillId="0" borderId="0" xfId="0" applyNumberFormat="1" applyFont="1" applyAlignment="1">
      <alignment vertical="center" wrapText="1"/>
    </xf>
    <xf numFmtId="3" fontId="77" fillId="0" borderId="3" xfId="16" quotePrefix="1" applyNumberFormat="1" applyFont="1" applyFill="1" applyBorder="1" applyAlignment="1">
      <alignment horizontal="right" vertical="center" wrapText="1"/>
    </xf>
    <xf numFmtId="174" fontId="77" fillId="0" borderId="3" xfId="18" applyNumberFormat="1" applyFont="1" applyBorder="1" applyAlignment="1">
      <alignment horizontal="center" vertical="center" wrapText="1"/>
    </xf>
    <xf numFmtId="43" fontId="77" fillId="0" borderId="3" xfId="20" applyFont="1" applyFill="1" applyBorder="1" applyAlignment="1">
      <alignment vertical="center" wrapText="1"/>
    </xf>
    <xf numFmtId="174" fontId="78" fillId="0" borderId="3" xfId="18" applyNumberFormat="1" applyFont="1" applyBorder="1" applyAlignment="1">
      <alignment horizontal="center" vertical="center" wrapText="1"/>
    </xf>
    <xf numFmtId="3" fontId="78" fillId="0" borderId="3" xfId="0" applyNumberFormat="1" applyFont="1" applyBorder="1" applyAlignment="1">
      <alignment horizontal="right" vertical="center"/>
    </xf>
    <xf numFmtId="3" fontId="76" fillId="7" borderId="3" xfId="0" applyNumberFormat="1" applyFont="1" applyFill="1" applyBorder="1" applyAlignment="1">
      <alignment vertical="center" wrapText="1"/>
    </xf>
    <xf numFmtId="3" fontId="76" fillId="0" borderId="3" xfId="0" applyNumberFormat="1" applyFont="1" applyBorder="1" applyAlignment="1">
      <alignment horizontal="right" vertical="center"/>
    </xf>
    <xf numFmtId="3" fontId="76" fillId="0" borderId="3" xfId="1" applyNumberFormat="1" applyFont="1" applyFill="1" applyBorder="1" applyAlignment="1">
      <alignment vertical="center"/>
    </xf>
    <xf numFmtId="169" fontId="77" fillId="0" borderId="3" xfId="1" applyNumberFormat="1" applyFont="1" applyFill="1" applyBorder="1" applyAlignment="1">
      <alignment vertical="center" wrapText="1"/>
    </xf>
    <xf numFmtId="175" fontId="76" fillId="0" borderId="3" xfId="0" applyNumberFormat="1" applyFont="1" applyBorder="1" applyAlignment="1">
      <alignment vertical="center"/>
    </xf>
    <xf numFmtId="174" fontId="76" fillId="0" borderId="3" xfId="18" applyNumberFormat="1" applyFont="1" applyBorder="1" applyAlignment="1">
      <alignment horizontal="center" vertical="center" wrapText="1"/>
    </xf>
    <xf numFmtId="169" fontId="76" fillId="0" borderId="3" xfId="20" applyNumberFormat="1" applyFont="1" applyFill="1" applyBorder="1" applyAlignment="1">
      <alignment vertical="center" wrapText="1"/>
    </xf>
    <xf numFmtId="0" fontId="77" fillId="0" borderId="23" xfId="0" applyFont="1" applyBorder="1" applyAlignment="1">
      <alignment horizontal="justify" vertical="center"/>
    </xf>
    <xf numFmtId="0" fontId="77" fillId="0" borderId="23" xfId="0" applyFont="1" applyBorder="1" applyAlignment="1">
      <alignment horizontal="center" vertical="center" wrapText="1"/>
    </xf>
    <xf numFmtId="0" fontId="89" fillId="0" borderId="3" xfId="0" applyFont="1" applyBorder="1" applyAlignment="1">
      <alignment vertical="center" wrapText="1"/>
    </xf>
    <xf numFmtId="169" fontId="76" fillId="0" borderId="3" xfId="0" applyNumberFormat="1" applyFont="1" applyBorder="1" applyAlignment="1">
      <alignment vertical="center" wrapText="1"/>
    </xf>
    <xf numFmtId="0" fontId="77" fillId="0" borderId="22" xfId="0" applyFont="1" applyBorder="1" applyAlignment="1">
      <alignment vertical="center" wrapText="1"/>
    </xf>
    <xf numFmtId="0" fontId="77" fillId="0" borderId="3" xfId="0" applyFont="1" applyBorder="1" applyAlignment="1">
      <alignment horizontal="justify" vertical="center"/>
    </xf>
    <xf numFmtId="169" fontId="76" fillId="6" borderId="3" xfId="16" applyNumberFormat="1" applyFont="1" applyFill="1" applyBorder="1" applyAlignment="1">
      <alignment vertical="center" wrapText="1"/>
    </xf>
    <xf numFmtId="169" fontId="76" fillId="0" borderId="3" xfId="16" applyNumberFormat="1" applyFont="1" applyFill="1" applyBorder="1" applyAlignment="1">
      <alignment horizontal="justify" vertical="center" wrapText="1"/>
    </xf>
    <xf numFmtId="169" fontId="77" fillId="0" borderId="0" xfId="16" applyNumberFormat="1" applyFont="1" applyFill="1" applyAlignment="1">
      <alignment horizontal="justify" vertical="center" wrapText="1"/>
    </xf>
    <xf numFmtId="169" fontId="77" fillId="0" borderId="0" xfId="16" applyNumberFormat="1" applyFont="1" applyFill="1" applyAlignment="1">
      <alignment horizontal="center" vertical="center" wrapText="1"/>
    </xf>
    <xf numFmtId="169" fontId="77" fillId="0" borderId="0" xfId="16" applyNumberFormat="1" applyFont="1" applyFill="1" applyAlignment="1">
      <alignment vertical="center" wrapText="1"/>
    </xf>
    <xf numFmtId="169" fontId="77" fillId="0" borderId="0" xfId="16" applyNumberFormat="1" applyFont="1" applyFill="1" applyAlignment="1">
      <alignment horizontal="right" vertical="center" wrapText="1"/>
    </xf>
    <xf numFmtId="0" fontId="9" fillId="0" borderId="0" xfId="0" applyFont="1" applyAlignment="1">
      <alignment vertical="center"/>
    </xf>
    <xf numFmtId="0" fontId="9" fillId="0" borderId="0" xfId="0" applyFont="1" applyAlignment="1">
      <alignment horizontal="center" vertical="center"/>
    </xf>
    <xf numFmtId="0" fontId="6" fillId="0" borderId="0" xfId="0" applyFont="1" applyAlignment="1">
      <alignment vertical="center"/>
    </xf>
    <xf numFmtId="0" fontId="34" fillId="0" borderId="3" xfId="0" applyFont="1" applyBorder="1" applyAlignment="1">
      <alignment horizontal="center" vertical="center"/>
    </xf>
    <xf numFmtId="3" fontId="34" fillId="0" borderId="3" xfId="0" applyNumberFormat="1" applyFont="1" applyBorder="1" applyAlignment="1">
      <alignment horizontal="center" vertical="center" wrapText="1"/>
    </xf>
    <xf numFmtId="3" fontId="34" fillId="0" borderId="7" xfId="0" applyNumberFormat="1" applyFont="1" applyBorder="1" applyAlignment="1">
      <alignment horizontal="center" vertical="center" wrapText="1"/>
    </xf>
    <xf numFmtId="0" fontId="56" fillId="0" borderId="3" xfId="0" applyFont="1" applyBorder="1" applyAlignment="1">
      <alignment horizontal="center" vertical="center"/>
    </xf>
    <xf numFmtId="3" fontId="34" fillId="0" borderId="3" xfId="0" applyNumberFormat="1" applyFont="1" applyBorder="1" applyAlignment="1">
      <alignment vertical="center"/>
    </xf>
    <xf numFmtId="0" fontId="34" fillId="0" borderId="3" xfId="0" applyFont="1" applyBorder="1" applyAlignment="1">
      <alignment horizontal="justify" vertical="center"/>
    </xf>
    <xf numFmtId="3" fontId="34" fillId="0" borderId="0" xfId="0" applyNumberFormat="1" applyFont="1" applyAlignment="1">
      <alignment vertical="center"/>
    </xf>
    <xf numFmtId="0" fontId="34" fillId="0" borderId="0" xfId="0" applyFont="1" applyAlignment="1">
      <alignment vertical="center"/>
    </xf>
    <xf numFmtId="0" fontId="20" fillId="0" borderId="3" xfId="0" applyFont="1" applyBorder="1" applyAlignment="1">
      <alignment horizontal="center" vertical="center"/>
    </xf>
    <xf numFmtId="0" fontId="20" fillId="0" borderId="3" xfId="0" applyFont="1" applyBorder="1" applyAlignment="1">
      <alignment horizontal="justify" vertical="center"/>
    </xf>
    <xf numFmtId="3" fontId="20" fillId="0" borderId="3" xfId="0" applyNumberFormat="1" applyFont="1" applyBorder="1" applyAlignment="1">
      <alignment vertical="center"/>
    </xf>
    <xf numFmtId="0" fontId="20" fillId="0" borderId="3" xfId="0" applyFont="1" applyBorder="1" applyAlignment="1">
      <alignment horizontal="justify" vertical="center" wrapText="1"/>
    </xf>
    <xf numFmtId="0" fontId="20" fillId="0" borderId="3" xfId="0" quotePrefix="1" applyFont="1" applyBorder="1" applyAlignment="1">
      <alignment horizontal="justify" vertical="center" wrapText="1"/>
    </xf>
    <xf numFmtId="0" fontId="34" fillId="0" borderId="3" xfId="0" applyFont="1" applyBorder="1" applyAlignment="1">
      <alignment horizontal="justify" vertical="center" wrapText="1"/>
    </xf>
    <xf numFmtId="174" fontId="20" fillId="0" borderId="3" xfId="18" applyNumberFormat="1" applyFont="1" applyBorder="1" applyAlignment="1">
      <alignment horizontal="justify" vertical="center" wrapText="1"/>
    </xf>
    <xf numFmtId="0" fontId="34" fillId="0" borderId="3" xfId="0" quotePrefix="1" applyFont="1" applyBorder="1" applyAlignment="1">
      <alignment horizontal="justify" vertical="center" wrapText="1"/>
    </xf>
    <xf numFmtId="0" fontId="20" fillId="0" borderId="3" xfId="0" applyFont="1" applyBorder="1" applyAlignment="1">
      <alignment vertical="center"/>
    </xf>
    <xf numFmtId="169" fontId="20" fillId="0" borderId="3" xfId="0" applyNumberFormat="1" applyFont="1" applyBorder="1" applyAlignment="1">
      <alignment vertical="center"/>
    </xf>
    <xf numFmtId="0" fontId="34" fillId="0" borderId="3" xfId="0" applyFont="1" applyBorder="1" applyAlignment="1">
      <alignment vertical="center" wrapText="1"/>
    </xf>
    <xf numFmtId="169" fontId="34" fillId="0" borderId="3" xfId="1" applyNumberFormat="1" applyFont="1" applyBorder="1" applyAlignment="1">
      <alignment vertical="center"/>
    </xf>
    <xf numFmtId="3" fontId="34" fillId="0" borderId="3" xfId="1" applyNumberFormat="1" applyFont="1" applyBorder="1" applyAlignment="1">
      <alignment vertical="center"/>
    </xf>
    <xf numFmtId="169" fontId="20" fillId="0" borderId="3" xfId="1" applyNumberFormat="1" applyFont="1" applyBorder="1" applyAlignment="1">
      <alignment vertical="center"/>
    </xf>
    <xf numFmtId="169" fontId="34" fillId="0" borderId="3" xfId="1" applyNumberFormat="1" applyFont="1" applyFill="1" applyBorder="1" applyAlignment="1">
      <alignment vertical="center"/>
    </xf>
    <xf numFmtId="169" fontId="20" fillId="0" borderId="3" xfId="1" applyNumberFormat="1" applyFont="1" applyFill="1" applyBorder="1" applyAlignment="1">
      <alignment vertical="center"/>
    </xf>
    <xf numFmtId="3" fontId="20" fillId="0" borderId="0" xfId="0" applyNumberFormat="1" applyFont="1" applyAlignment="1">
      <alignment vertical="center"/>
    </xf>
    <xf numFmtId="0" fontId="56" fillId="0" borderId="3" xfId="0" applyFont="1" applyBorder="1" applyAlignment="1">
      <alignment horizontal="justify" vertical="center"/>
    </xf>
    <xf numFmtId="3" fontId="56" fillId="0" borderId="3" xfId="0" applyNumberFormat="1" applyFont="1" applyBorder="1" applyAlignment="1">
      <alignment vertical="center"/>
    </xf>
    <xf numFmtId="0" fontId="56" fillId="0" borderId="0" xfId="0" applyFont="1" applyAlignment="1">
      <alignment vertical="center"/>
    </xf>
    <xf numFmtId="3" fontId="9" fillId="3" borderId="2" xfId="0" applyNumberFormat="1" applyFont="1" applyFill="1" applyBorder="1" applyAlignment="1">
      <alignment horizontal="right" vertical="center" wrapText="1"/>
    </xf>
    <xf numFmtId="180" fontId="77" fillId="0" borderId="0" xfId="0" applyNumberFormat="1" applyFont="1" applyAlignment="1">
      <alignment vertical="center" wrapText="1"/>
    </xf>
    <xf numFmtId="3" fontId="77" fillId="6" borderId="0" xfId="0" applyNumberFormat="1" applyFont="1" applyFill="1" applyAlignment="1">
      <alignment horizontal="center" vertical="center" wrapText="1"/>
    </xf>
    <xf numFmtId="3" fontId="76" fillId="6" borderId="0" xfId="0" applyNumberFormat="1" applyFont="1" applyFill="1" applyAlignment="1">
      <alignment vertical="center" wrapText="1"/>
    </xf>
    <xf numFmtId="0" fontId="20" fillId="0" borderId="4" xfId="0" applyFont="1" applyBorder="1" applyAlignment="1">
      <alignment horizontal="justify" vertical="center" wrapText="1"/>
    </xf>
    <xf numFmtId="0" fontId="11" fillId="0" borderId="3" xfId="0" applyFont="1" applyBorder="1" applyAlignment="1">
      <alignment vertical="center" wrapText="1"/>
    </xf>
    <xf numFmtId="0" fontId="56" fillId="0" borderId="0" xfId="0" applyFont="1" applyAlignment="1">
      <alignment horizontal="center" vertical="center"/>
    </xf>
    <xf numFmtId="9" fontId="76" fillId="0" borderId="3" xfId="15" applyFont="1" applyFill="1" applyBorder="1" applyAlignment="1">
      <alignment horizontal="center" vertical="center" wrapText="1"/>
    </xf>
    <xf numFmtId="9" fontId="77" fillId="0" borderId="3" xfId="15" applyFont="1" applyFill="1" applyBorder="1" applyAlignment="1">
      <alignment horizontal="center" vertical="center" wrapText="1"/>
    </xf>
    <xf numFmtId="9" fontId="78" fillId="0" borderId="3" xfId="15" applyFont="1" applyFill="1" applyBorder="1" applyAlignment="1">
      <alignment horizontal="center" vertical="center" wrapText="1"/>
    </xf>
    <xf numFmtId="9" fontId="77" fillId="0" borderId="3" xfId="15" applyFont="1" applyFill="1" applyBorder="1" applyAlignment="1">
      <alignment horizontal="center" vertical="center"/>
    </xf>
    <xf numFmtId="0" fontId="61" fillId="0" borderId="0" xfId="0" applyFont="1" applyAlignment="1">
      <alignment horizontal="center" vertical="center" wrapText="1"/>
    </xf>
    <xf numFmtId="0" fontId="91" fillId="0" borderId="0" xfId="0" applyFont="1" applyAlignment="1">
      <alignment vertical="center"/>
    </xf>
    <xf numFmtId="0" fontId="91" fillId="0" borderId="0" xfId="0" applyFont="1" applyAlignment="1">
      <alignment horizontal="center" vertical="center"/>
    </xf>
    <xf numFmtId="0" fontId="93" fillId="0" borderId="0" xfId="0" applyFont="1" applyAlignment="1">
      <alignment vertical="center"/>
    </xf>
    <xf numFmtId="0" fontId="51" fillId="0" borderId="3" xfId="0" applyFont="1" applyBorder="1" applyAlignment="1">
      <alignment horizontal="center" vertical="center" wrapText="1"/>
    </xf>
    <xf numFmtId="0" fontId="92" fillId="0" borderId="0" xfId="0" applyFont="1" applyAlignment="1">
      <alignment vertical="center"/>
    </xf>
    <xf numFmtId="0" fontId="94" fillId="0" borderId="0" xfId="0" applyFont="1" applyAlignment="1">
      <alignment vertical="center"/>
    </xf>
    <xf numFmtId="3" fontId="51" fillId="0" borderId="3" xfId="1" applyNumberFormat="1" applyFont="1" applyFill="1" applyBorder="1" applyAlignment="1">
      <alignment vertical="center"/>
    </xf>
    <xf numFmtId="0" fontId="48" fillId="0" borderId="0" xfId="0" applyFont="1" applyAlignment="1">
      <alignment vertical="center"/>
    </xf>
    <xf numFmtId="3" fontId="48" fillId="0" borderId="0" xfId="0" applyNumberFormat="1" applyFont="1" applyAlignment="1">
      <alignment vertical="center"/>
    </xf>
    <xf numFmtId="0" fontId="48" fillId="5" borderId="3" xfId="0" applyFont="1" applyFill="1" applyBorder="1" applyAlignment="1">
      <alignment horizontal="center" vertical="center"/>
    </xf>
    <xf numFmtId="0" fontId="48" fillId="5" borderId="3" xfId="0" applyFont="1" applyFill="1" applyBorder="1" applyAlignment="1">
      <alignment vertical="center" wrapText="1"/>
    </xf>
    <xf numFmtId="3" fontId="51" fillId="5" borderId="3" xfId="1" applyNumberFormat="1" applyFont="1" applyFill="1" applyBorder="1" applyAlignment="1">
      <alignment vertical="center"/>
    </xf>
    <xf numFmtId="0" fontId="48" fillId="5" borderId="0" xfId="0" applyFont="1" applyFill="1" applyAlignment="1">
      <alignment vertical="center"/>
    </xf>
    <xf numFmtId="3" fontId="48" fillId="5" borderId="0" xfId="0" applyNumberFormat="1" applyFont="1" applyFill="1" applyAlignment="1">
      <alignment vertical="center"/>
    </xf>
    <xf numFmtId="0" fontId="48" fillId="0" borderId="3" xfId="0" applyFont="1" applyBorder="1" applyAlignment="1">
      <alignment vertical="center" wrapText="1"/>
    </xf>
    <xf numFmtId="0" fontId="52" fillId="0" borderId="3" xfId="0" applyFont="1" applyBorder="1" applyAlignment="1">
      <alignment vertical="center" wrapText="1"/>
    </xf>
    <xf numFmtId="0" fontId="52" fillId="0" borderId="0" xfId="0" applyFont="1" applyAlignment="1">
      <alignment vertical="center"/>
    </xf>
    <xf numFmtId="3" fontId="57" fillId="0" borderId="3" xfId="1" applyNumberFormat="1" applyFont="1" applyFill="1" applyBorder="1" applyAlignment="1">
      <alignment vertical="center"/>
    </xf>
    <xf numFmtId="3" fontId="52" fillId="0" borderId="0" xfId="0" applyNumberFormat="1" applyFont="1" applyAlignment="1">
      <alignment vertical="center"/>
    </xf>
    <xf numFmtId="3" fontId="48" fillId="0" borderId="3" xfId="0" applyNumberFormat="1" applyFont="1" applyBorder="1" applyAlignment="1">
      <alignment vertical="center" wrapText="1"/>
    </xf>
    <xf numFmtId="0" fontId="90" fillId="0" borderId="0" xfId="0" applyFont="1" applyAlignment="1">
      <alignment vertical="center"/>
    </xf>
    <xf numFmtId="0" fontId="95" fillId="0" borderId="0" xfId="0" applyFont="1" applyAlignment="1">
      <alignment vertical="center"/>
    </xf>
    <xf numFmtId="0" fontId="96" fillId="0" borderId="0" xfId="0" applyFont="1" applyAlignment="1">
      <alignment vertical="center"/>
    </xf>
    <xf numFmtId="0" fontId="97" fillId="0" borderId="0" xfId="0" applyFont="1" applyAlignment="1">
      <alignment vertical="center"/>
    </xf>
    <xf numFmtId="3" fontId="57" fillId="0" borderId="3" xfId="0" applyNumberFormat="1" applyFont="1" applyBorder="1" applyAlignment="1">
      <alignment vertical="center" wrapText="1"/>
    </xf>
    <xf numFmtId="0" fontId="98" fillId="0" borderId="0" xfId="0" applyFont="1" applyAlignment="1">
      <alignment vertical="center"/>
    </xf>
    <xf numFmtId="0" fontId="97" fillId="0" borderId="0" xfId="0" applyFont="1" applyAlignment="1">
      <alignment horizontal="center" vertical="center"/>
    </xf>
    <xf numFmtId="9" fontId="48" fillId="0" borderId="3" xfId="2" applyFont="1" applyFill="1" applyBorder="1" applyAlignment="1">
      <alignment horizontal="center" vertical="center"/>
    </xf>
    <xf numFmtId="9" fontId="48" fillId="5" borderId="3" xfId="2" applyFont="1" applyFill="1" applyBorder="1" applyAlignment="1">
      <alignment horizontal="center" vertical="center"/>
    </xf>
    <xf numFmtId="3" fontId="52" fillId="0" borderId="3" xfId="0" applyNumberFormat="1" applyFont="1" applyBorder="1" applyAlignment="1">
      <alignment horizontal="center" vertical="center"/>
    </xf>
    <xf numFmtId="9" fontId="48" fillId="0" borderId="3" xfId="2" applyFont="1" applyBorder="1" applyAlignment="1">
      <alignment horizontal="center" vertical="center"/>
    </xf>
    <xf numFmtId="9" fontId="52" fillId="0" borderId="3" xfId="2" applyFont="1" applyBorder="1" applyAlignment="1">
      <alignment horizontal="center" vertical="center"/>
    </xf>
    <xf numFmtId="9" fontId="52" fillId="0" borderId="3" xfId="2" applyFont="1" applyFill="1" applyBorder="1" applyAlignment="1">
      <alignment horizontal="center" vertical="center"/>
    </xf>
    <xf numFmtId="0" fontId="95" fillId="0" borderId="3" xfId="0" applyFont="1" applyBorder="1" applyAlignment="1">
      <alignment horizontal="center" vertical="center"/>
    </xf>
    <xf numFmtId="0" fontId="97" fillId="0" borderId="3" xfId="0" applyFont="1" applyBorder="1" applyAlignment="1">
      <alignment horizontal="center" vertical="center"/>
    </xf>
    <xf numFmtId="0" fontId="98" fillId="0" borderId="3" xfId="0" applyFont="1" applyBorder="1" applyAlignment="1">
      <alignment horizontal="center" vertical="center"/>
    </xf>
    <xf numFmtId="0" fontId="34" fillId="0" borderId="0" xfId="0" applyFont="1" applyAlignment="1">
      <alignment horizontal="center" vertical="center" wrapText="1"/>
    </xf>
    <xf numFmtId="3" fontId="50" fillId="0" borderId="3" xfId="0" applyNumberFormat="1" applyFont="1" applyBorder="1" applyAlignment="1">
      <alignment horizontal="center" vertical="center" wrapText="1"/>
    </xf>
    <xf numFmtId="3" fontId="53" fillId="0" borderId="3" xfId="1" applyNumberFormat="1" applyFont="1" applyBorder="1" applyAlignment="1">
      <alignment horizontal="center" vertical="center" wrapText="1"/>
    </xf>
    <xf numFmtId="0" fontId="51" fillId="0" borderId="3" xfId="0" applyFont="1" applyBorder="1" applyAlignment="1">
      <alignment horizontal="center" vertical="center"/>
    </xf>
    <xf numFmtId="9" fontId="51" fillId="0" borderId="3" xfId="2" applyFont="1" applyFill="1" applyBorder="1" applyAlignment="1">
      <alignment horizontal="center" vertical="center" wrapText="1"/>
    </xf>
    <xf numFmtId="3" fontId="93" fillId="0" borderId="0" xfId="0" applyNumberFormat="1" applyFont="1" applyAlignment="1">
      <alignment vertical="center"/>
    </xf>
    <xf numFmtId="9" fontId="51" fillId="5" borderId="3" xfId="2" applyFont="1" applyFill="1" applyBorder="1" applyAlignment="1">
      <alignment horizontal="center" vertical="center" wrapText="1"/>
    </xf>
    <xf numFmtId="3" fontId="51" fillId="0" borderId="3" xfId="0" applyNumberFormat="1" applyFont="1" applyBorder="1" applyAlignment="1">
      <alignment horizontal="center" vertical="center" wrapText="1"/>
    </xf>
    <xf numFmtId="3" fontId="51" fillId="0" borderId="0" xfId="0" applyNumberFormat="1" applyFont="1" applyAlignment="1">
      <alignment horizontal="right" vertical="center" wrapText="1"/>
    </xf>
    <xf numFmtId="0" fontId="58" fillId="0" borderId="0" xfId="0" applyFont="1" applyAlignment="1">
      <alignment vertical="center"/>
    </xf>
    <xf numFmtId="3" fontId="53" fillId="2" borderId="3" xfId="0" applyNumberFormat="1" applyFont="1" applyFill="1" applyBorder="1" applyAlignment="1">
      <alignment horizontal="right" vertical="center" wrapText="1"/>
    </xf>
    <xf numFmtId="3" fontId="53" fillId="0" borderId="3" xfId="1" applyNumberFormat="1" applyFont="1" applyFill="1" applyBorder="1" applyAlignment="1">
      <alignment horizontal="center" vertical="center"/>
    </xf>
    <xf numFmtId="3" fontId="53" fillId="0" borderId="0" xfId="1" applyNumberFormat="1" applyFont="1" applyFill="1" applyBorder="1" applyAlignment="1">
      <alignment vertical="center"/>
    </xf>
    <xf numFmtId="0" fontId="57" fillId="0" borderId="0" xfId="0" applyFont="1" applyAlignment="1">
      <alignment vertical="center"/>
    </xf>
    <xf numFmtId="0" fontId="57" fillId="6" borderId="0" xfId="0" applyFont="1" applyFill="1" applyAlignment="1">
      <alignment vertical="center"/>
    </xf>
    <xf numFmtId="3" fontId="51" fillId="5" borderId="3" xfId="0" applyNumberFormat="1" applyFont="1" applyFill="1" applyBorder="1" applyAlignment="1">
      <alignment horizontal="center" vertical="center" wrapText="1"/>
    </xf>
    <xf numFmtId="3" fontId="51" fillId="4" borderId="3" xfId="0" applyNumberFormat="1" applyFont="1" applyFill="1" applyBorder="1" applyAlignment="1">
      <alignment horizontal="center" vertical="center" wrapText="1"/>
    </xf>
    <xf numFmtId="0" fontId="48" fillId="4" borderId="0" xfId="0" applyFont="1" applyFill="1" applyAlignment="1">
      <alignment vertical="center"/>
    </xf>
    <xf numFmtId="0" fontId="92" fillId="4" borderId="0" xfId="0" applyFont="1" applyFill="1" applyAlignment="1">
      <alignment vertical="center"/>
    </xf>
    <xf numFmtId="0" fontId="53" fillId="0" borderId="0" xfId="0" applyFont="1" applyAlignment="1">
      <alignment vertical="center"/>
    </xf>
    <xf numFmtId="3" fontId="53" fillId="0" borderId="3" xfId="0" applyNumberFormat="1" applyFont="1" applyBorder="1" applyAlignment="1">
      <alignment horizontal="right" vertical="center" wrapText="1"/>
    </xf>
    <xf numFmtId="0" fontId="93" fillId="6" borderId="0" xfId="0" applyFont="1" applyFill="1" applyAlignment="1">
      <alignment vertical="center"/>
    </xf>
    <xf numFmtId="9" fontId="60" fillId="4" borderId="3" xfId="2" applyFont="1" applyFill="1" applyBorder="1" applyAlignment="1">
      <alignment horizontal="center" vertical="center" wrapText="1"/>
    </xf>
    <xf numFmtId="3" fontId="20" fillId="0" borderId="0" xfId="0" applyNumberFormat="1" applyFont="1" applyAlignment="1">
      <alignment horizontal="center" vertical="center" wrapText="1"/>
    </xf>
    <xf numFmtId="3" fontId="20" fillId="0" borderId="0" xfId="0" applyNumberFormat="1" applyFont="1" applyAlignment="1">
      <alignment horizontal="justify" vertical="center" wrapText="1"/>
    </xf>
    <xf numFmtId="3" fontId="20" fillId="0" borderId="0" xfId="0" applyNumberFormat="1" applyFont="1" applyAlignment="1">
      <alignment vertical="center" wrapText="1"/>
    </xf>
    <xf numFmtId="3" fontId="20" fillId="0" borderId="0" xfId="0" applyNumberFormat="1" applyFont="1" applyAlignment="1">
      <alignment horizontal="right" vertical="center" wrapText="1"/>
    </xf>
    <xf numFmtId="0" fontId="20" fillId="0" borderId="0" xfId="0" applyFont="1" applyAlignment="1">
      <alignment vertical="center" wrapText="1"/>
    </xf>
    <xf numFmtId="3" fontId="76" fillId="0" borderId="3" xfId="12" applyNumberFormat="1" applyFont="1" applyBorder="1" applyAlignment="1">
      <alignment horizontal="right" vertical="center" wrapText="1"/>
    </xf>
    <xf numFmtId="3" fontId="76" fillId="0" borderId="3" xfId="17" applyNumberFormat="1" applyFont="1" applyBorder="1" applyAlignment="1">
      <alignment horizontal="right" vertical="center"/>
    </xf>
    <xf numFmtId="3" fontId="86" fillId="0" borderId="3" xfId="12" applyNumberFormat="1" applyFont="1" applyBorder="1" applyAlignment="1">
      <alignment horizontal="right" vertical="center" wrapText="1"/>
    </xf>
    <xf numFmtId="3" fontId="86" fillId="0" borderId="3" xfId="17" applyNumberFormat="1" applyFont="1" applyBorder="1" applyAlignment="1">
      <alignment horizontal="right" vertical="center"/>
    </xf>
    <xf numFmtId="3" fontId="87" fillId="0" borderId="3" xfId="0" applyNumberFormat="1" applyFont="1" applyBorder="1" applyAlignment="1">
      <alignment horizontal="right" vertical="center"/>
    </xf>
    <xf numFmtId="3" fontId="88" fillId="0" borderId="3" xfId="0" applyNumberFormat="1" applyFont="1" applyBorder="1" applyAlignment="1">
      <alignment horizontal="right" vertical="center"/>
    </xf>
    <xf numFmtId="3" fontId="61" fillId="0" borderId="3" xfId="1" applyNumberFormat="1" applyFont="1" applyFill="1" applyBorder="1" applyAlignment="1">
      <alignment horizontal="right" vertical="center" wrapText="1"/>
    </xf>
    <xf numFmtId="3" fontId="61" fillId="0" borderId="3" xfId="0" applyNumberFormat="1" applyFont="1" applyBorder="1" applyAlignment="1">
      <alignment horizontal="right" vertical="center" wrapText="1"/>
    </xf>
    <xf numFmtId="3" fontId="61" fillId="0" borderId="3" xfId="0" applyNumberFormat="1" applyFont="1" applyBorder="1" applyAlignment="1">
      <alignment vertical="center" wrapText="1"/>
    </xf>
    <xf numFmtId="3" fontId="61" fillId="0" borderId="7" xfId="1" applyNumberFormat="1" applyFont="1" applyFill="1" applyBorder="1" applyAlignment="1">
      <alignment vertical="center" wrapText="1"/>
    </xf>
    <xf numFmtId="3" fontId="78" fillId="0" borderId="3" xfId="1" applyNumberFormat="1" applyFont="1" applyBorder="1" applyAlignment="1">
      <alignment horizontal="right" vertical="center"/>
    </xf>
    <xf numFmtId="3" fontId="76" fillId="5" borderId="3" xfId="16" applyNumberFormat="1" applyFont="1" applyFill="1" applyBorder="1" applyAlignment="1">
      <alignment horizontal="right" vertical="center" wrapText="1"/>
    </xf>
    <xf numFmtId="3" fontId="77" fillId="0" borderId="3" xfId="20" applyNumberFormat="1" applyFont="1" applyFill="1" applyBorder="1" applyAlignment="1">
      <alignment horizontal="right" vertical="center" wrapText="1"/>
    </xf>
    <xf numFmtId="174" fontId="42" fillId="0" borderId="3" xfId="18" applyNumberFormat="1" applyFont="1" applyBorder="1" applyAlignment="1">
      <alignment vertical="center" wrapText="1"/>
    </xf>
    <xf numFmtId="174" fontId="42" fillId="0" borderId="3" xfId="18" applyNumberFormat="1" applyFont="1" applyBorder="1" applyAlignment="1">
      <alignment horizontal="center" vertical="center" wrapText="1"/>
    </xf>
    <xf numFmtId="3" fontId="42" fillId="0" borderId="3" xfId="18" applyNumberFormat="1" applyFont="1" applyBorder="1" applyAlignment="1">
      <alignment horizontal="right" vertical="center" wrapText="1"/>
    </xf>
    <xf numFmtId="43" fontId="42" fillId="0" borderId="3" xfId="16" applyFont="1" applyFill="1" applyBorder="1" applyAlignment="1">
      <alignment vertical="center" wrapText="1"/>
    </xf>
    <xf numFmtId="43" fontId="44" fillId="0" borderId="3" xfId="16" applyFont="1" applyFill="1" applyBorder="1" applyAlignment="1">
      <alignment horizontal="center" vertical="center" wrapText="1"/>
    </xf>
    <xf numFmtId="43" fontId="44" fillId="0" borderId="3" xfId="16" applyFont="1" applyFill="1" applyBorder="1" applyAlignment="1">
      <alignment vertical="center" wrapText="1"/>
    </xf>
    <xf numFmtId="3" fontId="44" fillId="0" borderId="3" xfId="16" applyNumberFormat="1" applyFont="1" applyFill="1" applyBorder="1" applyAlignment="1">
      <alignment horizontal="right" vertical="center" wrapText="1"/>
    </xf>
    <xf numFmtId="43" fontId="42" fillId="0" borderId="3" xfId="16" applyFont="1" applyFill="1" applyBorder="1" applyAlignment="1">
      <alignment horizontal="center" vertical="center" wrapText="1"/>
    </xf>
    <xf numFmtId="3" fontId="42" fillId="0" borderId="3" xfId="16" applyNumberFormat="1" applyFont="1" applyFill="1" applyBorder="1" applyAlignment="1">
      <alignment horizontal="right" vertical="center" wrapText="1"/>
    </xf>
    <xf numFmtId="0" fontId="42" fillId="0" borderId="3" xfId="0" applyFont="1" applyBorder="1" applyAlignment="1">
      <alignment vertical="center" wrapText="1"/>
    </xf>
    <xf numFmtId="3" fontId="42" fillId="0" borderId="3" xfId="0" applyNumberFormat="1" applyFont="1" applyBorder="1" applyAlignment="1">
      <alignment horizontal="right" vertical="center"/>
    </xf>
    <xf numFmtId="0" fontId="77" fillId="0" borderId="7" xfId="0" applyFont="1" applyBorder="1" applyAlignment="1">
      <alignment horizontal="left" vertical="center" wrapText="1"/>
    </xf>
    <xf numFmtId="0" fontId="76" fillId="8" borderId="0" xfId="0" applyFont="1" applyFill="1" applyAlignment="1">
      <alignment vertical="center" wrapText="1"/>
    </xf>
    <xf numFmtId="3" fontId="76" fillId="8" borderId="0" xfId="1" applyNumberFormat="1" applyFont="1" applyFill="1" applyAlignment="1">
      <alignment vertical="center" wrapText="1"/>
    </xf>
    <xf numFmtId="0" fontId="76" fillId="4" borderId="3" xfId="0" applyFont="1" applyFill="1" applyBorder="1" applyAlignment="1">
      <alignment horizontal="center" vertical="center" wrapText="1"/>
    </xf>
    <xf numFmtId="169" fontId="76" fillId="4" borderId="3" xfId="16" applyNumberFormat="1" applyFont="1" applyFill="1" applyBorder="1" applyAlignment="1">
      <alignment horizontal="justify" vertical="center" wrapText="1"/>
    </xf>
    <xf numFmtId="0" fontId="76" fillId="4" borderId="3" xfId="0" applyFont="1" applyFill="1" applyBorder="1" applyAlignment="1">
      <alignment horizontal="center" vertical="center"/>
    </xf>
    <xf numFmtId="43" fontId="76" fillId="4" borderId="3" xfId="16" applyFont="1" applyFill="1" applyBorder="1" applyAlignment="1">
      <alignment vertical="center" wrapText="1"/>
    </xf>
    <xf numFmtId="3" fontId="76" fillId="4" borderId="3" xfId="16" applyNumberFormat="1" applyFont="1" applyFill="1" applyBorder="1" applyAlignment="1">
      <alignment horizontal="right" vertical="center" wrapText="1"/>
    </xf>
    <xf numFmtId="0" fontId="76" fillId="4" borderId="3" xfId="0" applyFont="1" applyFill="1" applyBorder="1" applyAlignment="1">
      <alignment vertical="center" wrapText="1"/>
    </xf>
    <xf numFmtId="0" fontId="76" fillId="4" borderId="0" xfId="0" applyFont="1" applyFill="1" applyAlignment="1">
      <alignment vertical="center" wrapText="1"/>
    </xf>
    <xf numFmtId="3" fontId="76" fillId="4" borderId="0" xfId="1" applyNumberFormat="1" applyFont="1" applyFill="1" applyAlignment="1">
      <alignment vertical="center" wrapText="1"/>
    </xf>
    <xf numFmtId="3" fontId="76" fillId="4" borderId="3" xfId="0" applyNumberFormat="1" applyFont="1" applyFill="1" applyBorder="1" applyAlignment="1">
      <alignment vertical="center" wrapText="1"/>
    </xf>
    <xf numFmtId="43" fontId="76" fillId="5" borderId="3" xfId="0" applyNumberFormat="1" applyFont="1" applyFill="1" applyBorder="1" applyAlignment="1">
      <alignment vertical="center" wrapText="1"/>
    </xf>
    <xf numFmtId="3" fontId="76" fillId="5" borderId="3" xfId="0" applyNumberFormat="1" applyFont="1" applyFill="1" applyBorder="1" applyAlignment="1">
      <alignment horizontal="right" vertical="center" wrapText="1"/>
    </xf>
    <xf numFmtId="0" fontId="76" fillId="5" borderId="3" xfId="0" applyFont="1" applyFill="1" applyBorder="1" applyAlignment="1">
      <alignment vertical="center" wrapText="1"/>
    </xf>
    <xf numFmtId="174" fontId="76" fillId="5" borderId="3" xfId="17" applyNumberFormat="1" applyFont="1" applyFill="1" applyBorder="1" applyAlignment="1">
      <alignment horizontal="center" vertical="center"/>
    </xf>
    <xf numFmtId="3" fontId="76" fillId="5" borderId="3" xfId="16" applyNumberFormat="1" applyFont="1" applyFill="1" applyBorder="1" applyAlignment="1">
      <alignment horizontal="center" vertical="center" wrapText="1"/>
    </xf>
    <xf numFmtId="3" fontId="76" fillId="5" borderId="3" xfId="16" applyNumberFormat="1" applyFont="1" applyFill="1" applyBorder="1" applyAlignment="1">
      <alignment vertical="center" wrapText="1"/>
    </xf>
    <xf numFmtId="0" fontId="8" fillId="3" borderId="2" xfId="0" applyFont="1" applyFill="1" applyBorder="1" applyAlignment="1">
      <alignment horizontal="center" vertical="center" wrapText="1"/>
    </xf>
    <xf numFmtId="3" fontId="8"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3" fontId="6" fillId="3" borderId="2" xfId="0" applyNumberFormat="1" applyFont="1" applyFill="1" applyBorder="1" applyAlignment="1">
      <alignment horizontal="center" vertical="center" wrapText="1"/>
    </xf>
    <xf numFmtId="0" fontId="8" fillId="3" borderId="2" xfId="0" applyFont="1" applyFill="1" applyBorder="1" applyAlignment="1">
      <alignment vertical="center" wrapText="1"/>
    </xf>
    <xf numFmtId="3" fontId="8" fillId="3" borderId="2" xfId="0" applyNumberFormat="1" applyFont="1" applyFill="1" applyBorder="1" applyAlignment="1">
      <alignment horizontal="right" vertical="center" wrapText="1"/>
    </xf>
    <xf numFmtId="0" fontId="9" fillId="3" borderId="2" xfId="0" applyFont="1" applyFill="1" applyBorder="1" applyAlignment="1">
      <alignment horizontal="center" vertical="center" wrapText="1"/>
    </xf>
    <xf numFmtId="3" fontId="9" fillId="2" borderId="2" xfId="0" applyNumberFormat="1" applyFont="1" applyFill="1" applyBorder="1" applyAlignment="1">
      <alignment horizontal="right" vertical="center" wrapText="1"/>
    </xf>
    <xf numFmtId="0" fontId="34" fillId="3" borderId="2" xfId="0" applyFont="1" applyFill="1" applyBorder="1" applyAlignment="1">
      <alignment horizontal="center" vertical="center" wrapText="1"/>
    </xf>
    <xf numFmtId="0" fontId="34" fillId="3" borderId="2" xfId="0" applyFont="1" applyFill="1" applyBorder="1" applyAlignment="1">
      <alignment vertical="center" wrapText="1"/>
    </xf>
    <xf numFmtId="3" fontId="20" fillId="3" borderId="2" xfId="0" applyNumberFormat="1" applyFont="1" applyFill="1" applyBorder="1" applyAlignment="1">
      <alignment horizontal="right" vertical="center" wrapText="1"/>
    </xf>
    <xf numFmtId="3" fontId="78" fillId="0" borderId="3" xfId="16" applyNumberFormat="1" applyFont="1" applyFill="1" applyBorder="1" applyAlignment="1">
      <alignment horizontal="center" vertical="center" wrapText="1"/>
    </xf>
    <xf numFmtId="43" fontId="78" fillId="0" borderId="3" xfId="1" applyFont="1" applyFill="1" applyBorder="1" applyAlignment="1">
      <alignment vertical="center" wrapText="1"/>
    </xf>
    <xf numFmtId="169" fontId="77" fillId="0" borderId="0" xfId="1" applyNumberFormat="1" applyFont="1" applyAlignment="1">
      <alignment vertical="center" wrapText="1"/>
    </xf>
    <xf numFmtId="3" fontId="76" fillId="4" borderId="0" xfId="0" applyNumberFormat="1" applyFont="1" applyFill="1" applyAlignment="1">
      <alignment vertical="center" wrapText="1"/>
    </xf>
    <xf numFmtId="169" fontId="85" fillId="0" borderId="0" xfId="16" applyNumberFormat="1" applyFont="1" applyFill="1" applyAlignment="1">
      <alignment horizontal="justify" vertical="center" wrapText="1"/>
    </xf>
    <xf numFmtId="169" fontId="85" fillId="0" borderId="0" xfId="16" applyNumberFormat="1" applyFont="1" applyFill="1" applyAlignment="1">
      <alignment horizontal="center" vertical="center" wrapText="1"/>
    </xf>
    <xf numFmtId="169" fontId="85" fillId="0" borderId="0" xfId="16" applyNumberFormat="1" applyFont="1" applyFill="1" applyAlignment="1">
      <alignment vertical="center" wrapText="1"/>
    </xf>
    <xf numFmtId="169" fontId="85" fillId="0" borderId="0" xfId="16" applyNumberFormat="1" applyFont="1" applyFill="1" applyAlignment="1">
      <alignment horizontal="right" vertical="center" wrapText="1"/>
    </xf>
    <xf numFmtId="0" fontId="99" fillId="0" borderId="0" xfId="0" applyFont="1"/>
    <xf numFmtId="0" fontId="100" fillId="0" borderId="0" xfId="0" applyFont="1" applyAlignment="1">
      <alignment vertical="center"/>
    </xf>
    <xf numFmtId="0" fontId="100" fillId="0" borderId="3" xfId="0" applyFont="1" applyBorder="1" applyAlignment="1">
      <alignment horizontal="center" vertical="center" wrapText="1"/>
    </xf>
    <xf numFmtId="0" fontId="101" fillId="0" borderId="3" xfId="0" applyFont="1" applyBorder="1" applyAlignment="1">
      <alignment horizontal="center" vertical="center" wrapText="1"/>
    </xf>
    <xf numFmtId="0" fontId="102" fillId="0" borderId="3" xfId="0" applyFont="1" applyBorder="1" applyAlignment="1">
      <alignment horizontal="center"/>
    </xf>
    <xf numFmtId="0" fontId="102" fillId="0" borderId="0" xfId="0" applyFont="1"/>
    <xf numFmtId="0" fontId="100" fillId="0" borderId="3" xfId="0" applyFont="1" applyBorder="1" applyAlignment="1">
      <alignment vertical="center" wrapText="1"/>
    </xf>
    <xf numFmtId="3" fontId="100" fillId="0" borderId="3" xfId="0" applyNumberFormat="1" applyFont="1" applyBorder="1" applyAlignment="1">
      <alignment vertical="center" wrapText="1"/>
    </xf>
    <xf numFmtId="9" fontId="100" fillId="0" borderId="3" xfId="2" applyFont="1" applyBorder="1" applyAlignment="1">
      <alignment horizontal="center" vertical="center" wrapText="1"/>
    </xf>
    <xf numFmtId="0" fontId="99" fillId="0" borderId="3" xfId="0" applyFont="1" applyBorder="1"/>
    <xf numFmtId="169" fontId="100" fillId="0" borderId="3" xfId="1" applyNumberFormat="1" applyFont="1" applyBorder="1" applyAlignment="1">
      <alignment vertical="center" wrapText="1"/>
    </xf>
    <xf numFmtId="0" fontId="103" fillId="0" borderId="3" xfId="0" applyFont="1" applyBorder="1" applyAlignment="1">
      <alignment horizontal="center" vertical="center" wrapText="1"/>
    </xf>
    <xf numFmtId="0" fontId="103" fillId="0" borderId="3" xfId="0" applyFont="1" applyBorder="1" applyAlignment="1">
      <alignment vertical="center" wrapText="1"/>
    </xf>
    <xf numFmtId="169" fontId="103" fillId="0" borderId="3" xfId="1" applyNumberFormat="1" applyFont="1" applyBorder="1" applyAlignment="1">
      <alignment vertical="center" wrapText="1"/>
    </xf>
    <xf numFmtId="3" fontId="103" fillId="0" borderId="3" xfId="0" applyNumberFormat="1" applyFont="1" applyBorder="1" applyAlignment="1">
      <alignment vertical="center" wrapText="1"/>
    </xf>
    <xf numFmtId="169" fontId="100" fillId="0" borderId="3" xfId="0" applyNumberFormat="1" applyFont="1" applyBorder="1" applyAlignment="1">
      <alignment vertical="center" wrapText="1"/>
    </xf>
    <xf numFmtId="3" fontId="100" fillId="0" borderId="3" xfId="0" applyNumberFormat="1" applyFont="1" applyBorder="1" applyAlignment="1">
      <alignment horizontal="right" vertical="center" wrapText="1"/>
    </xf>
    <xf numFmtId="3" fontId="100" fillId="0" borderId="3" xfId="1" applyNumberFormat="1" applyFont="1" applyBorder="1" applyAlignment="1">
      <alignment horizontal="right" vertical="center" wrapText="1"/>
    </xf>
    <xf numFmtId="3" fontId="103" fillId="0" borderId="3" xfId="1" applyNumberFormat="1" applyFont="1" applyBorder="1" applyAlignment="1">
      <alignment horizontal="right" vertical="center" wrapText="1"/>
    </xf>
    <xf numFmtId="3" fontId="103" fillId="0" borderId="3" xfId="0" applyNumberFormat="1" applyFont="1" applyBorder="1" applyAlignment="1">
      <alignment horizontal="right" vertical="center" wrapText="1"/>
    </xf>
    <xf numFmtId="0" fontId="101" fillId="0" borderId="3" xfId="0" applyFont="1" applyBorder="1" applyAlignment="1">
      <alignment vertical="center" wrapText="1"/>
    </xf>
    <xf numFmtId="3" fontId="101" fillId="0" borderId="3" xfId="1" applyNumberFormat="1" applyFont="1" applyBorder="1" applyAlignment="1">
      <alignment horizontal="right" vertical="center" wrapText="1"/>
    </xf>
    <xf numFmtId="3" fontId="101" fillId="0" borderId="3" xfId="0" applyNumberFormat="1" applyFont="1" applyBorder="1" applyAlignment="1">
      <alignment horizontal="right" vertical="center" wrapText="1"/>
    </xf>
    <xf numFmtId="9" fontId="99" fillId="0" borderId="0" xfId="0" applyNumberFormat="1" applyFont="1"/>
    <xf numFmtId="0" fontId="99" fillId="0" borderId="0" xfId="0" applyFont="1" applyAlignment="1">
      <alignment vertical="center"/>
    </xf>
    <xf numFmtId="0" fontId="60" fillId="0" borderId="0" xfId="0" applyFont="1" applyAlignment="1">
      <alignment vertical="center"/>
    </xf>
    <xf numFmtId="0" fontId="102" fillId="0" borderId="0" xfId="0" applyFont="1" applyAlignment="1">
      <alignment vertical="center"/>
    </xf>
    <xf numFmtId="0" fontId="100" fillId="0" borderId="3" xfId="0" applyFont="1" applyBorder="1" applyAlignment="1">
      <alignment horizontal="right" vertical="center" wrapText="1"/>
    </xf>
    <xf numFmtId="0" fontId="103" fillId="0" borderId="3" xfId="0" applyFont="1" applyBorder="1" applyAlignment="1">
      <alignment horizontal="right" vertical="center" wrapText="1"/>
    </xf>
    <xf numFmtId="0" fontId="101" fillId="0" borderId="3" xfId="0" applyFont="1" applyBorder="1" applyAlignment="1">
      <alignment horizontal="right" vertical="center" wrapText="1"/>
    </xf>
    <xf numFmtId="0" fontId="104" fillId="0" borderId="0" xfId="0" applyFont="1" applyAlignment="1">
      <alignment vertical="center"/>
    </xf>
    <xf numFmtId="0" fontId="105" fillId="0" borderId="3" xfId="0" applyFont="1" applyBorder="1" applyAlignment="1">
      <alignment horizontal="center" vertical="center" wrapText="1"/>
    </xf>
    <xf numFmtId="0" fontId="105" fillId="0" borderId="3" xfId="0" applyFont="1" applyBorder="1" applyAlignment="1">
      <alignment vertical="center" wrapText="1"/>
    </xf>
    <xf numFmtId="3" fontId="105" fillId="0" borderId="3" xfId="0" applyNumberFormat="1" applyFont="1" applyBorder="1" applyAlignment="1">
      <alignment horizontal="right" vertical="center" wrapText="1"/>
    </xf>
    <xf numFmtId="0" fontId="105" fillId="0" borderId="3" xfId="0" applyFont="1" applyBorder="1" applyAlignment="1">
      <alignment horizontal="right" vertical="center" wrapText="1"/>
    </xf>
    <xf numFmtId="0" fontId="106" fillId="0" borderId="0" xfId="0" applyFont="1" applyAlignment="1">
      <alignment vertical="center"/>
    </xf>
    <xf numFmtId="0" fontId="77" fillId="0" borderId="0" xfId="0" applyFont="1" applyAlignment="1">
      <alignment vertical="center"/>
    </xf>
    <xf numFmtId="3" fontId="9" fillId="0" borderId="0" xfId="0" applyNumberFormat="1" applyFont="1" applyAlignment="1">
      <alignment vertical="center"/>
    </xf>
    <xf numFmtId="0" fontId="8" fillId="0" borderId="0" xfId="0" applyFont="1" applyAlignment="1">
      <alignment vertical="center"/>
    </xf>
    <xf numFmtId="3" fontId="77" fillId="0" borderId="0" xfId="0" applyNumberFormat="1" applyFont="1" applyAlignment="1">
      <alignment horizontal="right" vertical="center"/>
    </xf>
    <xf numFmtId="0" fontId="12" fillId="0" borderId="0" xfId="0" applyFont="1" applyAlignment="1">
      <alignment horizontal="center" vertical="center"/>
    </xf>
    <xf numFmtId="0" fontId="14" fillId="0" borderId="0" xfId="0" applyFont="1" applyAlignment="1">
      <alignment horizontal="center" vertical="center"/>
    </xf>
    <xf numFmtId="0" fontId="12" fillId="0" borderId="0" xfId="0" applyFont="1" applyAlignment="1">
      <alignment horizontal="center" vertical="center" wrapText="1"/>
    </xf>
    <xf numFmtId="0" fontId="18" fillId="0" borderId="3" xfId="0" applyFont="1" applyBorder="1" applyAlignment="1">
      <alignment horizontal="center" vertical="center"/>
    </xf>
    <xf numFmtId="0" fontId="12" fillId="0" borderId="3" xfId="0" applyFont="1" applyBorder="1" applyAlignment="1">
      <alignment horizontal="center" vertical="center"/>
    </xf>
    <xf numFmtId="3" fontId="12" fillId="0" borderId="3" xfId="1" applyNumberFormat="1" applyFont="1" applyBorder="1" applyAlignment="1">
      <alignment horizontal="right" vertical="center"/>
    </xf>
    <xf numFmtId="0" fontId="12" fillId="0" borderId="3" xfId="0" applyFont="1" applyBorder="1" applyAlignment="1">
      <alignment horizontal="left" vertical="center"/>
    </xf>
    <xf numFmtId="0" fontId="14" fillId="0" borderId="3" xfId="0" applyFont="1" applyBorder="1" applyAlignment="1">
      <alignment horizontal="center" vertical="center"/>
    </xf>
    <xf numFmtId="3" fontId="14" fillId="0" borderId="3" xfId="1" applyNumberFormat="1" applyFont="1" applyBorder="1" applyAlignment="1">
      <alignment horizontal="right" vertical="center"/>
    </xf>
    <xf numFmtId="3" fontId="14" fillId="0" borderId="3" xfId="0" applyNumberFormat="1" applyFont="1" applyBorder="1" applyAlignment="1">
      <alignment horizontal="right" vertical="center"/>
    </xf>
    <xf numFmtId="3" fontId="14" fillId="0" borderId="0" xfId="0" applyNumberFormat="1" applyFont="1" applyAlignment="1">
      <alignment horizontal="center" vertical="center"/>
    </xf>
    <xf numFmtId="0" fontId="19" fillId="0" borderId="3" xfId="0" applyFont="1" applyBorder="1" applyAlignment="1">
      <alignment horizontal="center" vertical="center"/>
    </xf>
    <xf numFmtId="0" fontId="19" fillId="0" borderId="3" xfId="0" applyFont="1" applyBorder="1" applyAlignment="1">
      <alignment horizontal="left" vertical="center" wrapText="1"/>
    </xf>
    <xf numFmtId="3" fontId="19" fillId="0" borderId="3" xfId="1" applyNumberFormat="1" applyFont="1" applyBorder="1" applyAlignment="1">
      <alignment horizontal="right" vertical="center"/>
    </xf>
    <xf numFmtId="0" fontId="19" fillId="0" borderId="0" xfId="0" applyFont="1" applyAlignment="1">
      <alignment horizontal="center" vertical="center"/>
    </xf>
    <xf numFmtId="169" fontId="19" fillId="0" borderId="0" xfId="0" applyNumberFormat="1" applyFont="1" applyAlignment="1">
      <alignment horizontal="center" vertical="center"/>
    </xf>
    <xf numFmtId="0" fontId="10" fillId="0" borderId="0" xfId="0" applyFont="1" applyAlignment="1">
      <alignment vertical="center" wrapText="1"/>
    </xf>
    <xf numFmtId="0" fontId="10" fillId="0" borderId="3" xfId="0" applyFont="1" applyBorder="1" applyAlignment="1">
      <alignment horizontal="center" vertical="center" wrapText="1"/>
    </xf>
    <xf numFmtId="0" fontId="3" fillId="0" borderId="3" xfId="0" applyFont="1" applyBorder="1" applyAlignment="1">
      <alignment horizontal="center" vertical="center" wrapText="1"/>
    </xf>
    <xf numFmtId="0" fontId="10" fillId="0" borderId="4" xfId="0" applyFont="1" applyBorder="1" applyAlignment="1">
      <alignment horizontal="center" vertical="center" wrapText="1"/>
    </xf>
    <xf numFmtId="3" fontId="10" fillId="0" borderId="3" xfId="0" applyNumberFormat="1" applyFont="1" applyBorder="1" applyAlignment="1">
      <alignment horizontal="right" vertical="center" wrapText="1"/>
    </xf>
    <xf numFmtId="0" fontId="11" fillId="0" borderId="3" xfId="0" applyFont="1" applyBorder="1" applyAlignment="1">
      <alignment horizontal="center" vertical="center" wrapText="1"/>
    </xf>
    <xf numFmtId="3" fontId="11" fillId="0" borderId="3" xfId="0" applyNumberFormat="1" applyFont="1" applyBorder="1" applyAlignment="1">
      <alignment horizontal="right" vertical="center" wrapText="1"/>
    </xf>
    <xf numFmtId="3" fontId="11" fillId="0" borderId="3" xfId="0" applyNumberFormat="1" applyFont="1" applyBorder="1" applyAlignment="1">
      <alignment vertical="center" wrapText="1"/>
    </xf>
    <xf numFmtId="3" fontId="11" fillId="0" borderId="3" xfId="1" applyNumberFormat="1" applyFont="1" applyBorder="1" applyAlignment="1">
      <alignment horizontal="right" vertical="center" wrapText="1"/>
    </xf>
    <xf numFmtId="0" fontId="14" fillId="0" borderId="3" xfId="0" applyFont="1" applyBorder="1" applyAlignment="1">
      <alignment vertical="top" wrapText="1"/>
    </xf>
    <xf numFmtId="0" fontId="11" fillId="0" borderId="0" xfId="0" applyFont="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17" fillId="0" borderId="0" xfId="0" applyFont="1" applyAlignment="1">
      <alignment vertical="center"/>
    </xf>
    <xf numFmtId="0" fontId="14" fillId="0" borderId="0" xfId="0" applyFont="1" applyAlignment="1">
      <alignment vertical="center"/>
    </xf>
    <xf numFmtId="3" fontId="12" fillId="0" borderId="7" xfId="0" applyNumberFormat="1" applyFont="1" applyBorder="1" applyAlignment="1">
      <alignment horizontal="center" vertical="center" wrapText="1"/>
    </xf>
    <xf numFmtId="3" fontId="12" fillId="0" borderId="3" xfId="0" applyNumberFormat="1" applyFont="1" applyBorder="1" applyAlignment="1">
      <alignment vertical="center"/>
    </xf>
    <xf numFmtId="3" fontId="14" fillId="0" borderId="0" xfId="0" applyNumberFormat="1" applyFont="1" applyAlignment="1">
      <alignment vertical="center"/>
    </xf>
    <xf numFmtId="0" fontId="12" fillId="0" borderId="3" xfId="0" applyFont="1" applyBorder="1" applyAlignment="1">
      <alignment horizontal="justify" vertical="center"/>
    </xf>
    <xf numFmtId="0" fontId="12" fillId="0" borderId="0" xfId="0" applyFont="1" applyAlignment="1">
      <alignment vertical="center"/>
    </xf>
    <xf numFmtId="0" fontId="14" fillId="0" borderId="3" xfId="0" applyFont="1" applyBorder="1" applyAlignment="1">
      <alignment horizontal="justify" vertical="center"/>
    </xf>
    <xf numFmtId="3" fontId="14" fillId="0" borderId="3" xfId="0" applyNumberFormat="1" applyFont="1" applyBorder="1" applyAlignment="1">
      <alignment vertical="center"/>
    </xf>
    <xf numFmtId="0" fontId="18" fillId="0" borderId="3" xfId="0" applyFont="1" applyBorder="1" applyAlignment="1">
      <alignment horizontal="justify" vertical="center"/>
    </xf>
    <xf numFmtId="3" fontId="18" fillId="0" borderId="3" xfId="0" applyNumberFormat="1" applyFont="1" applyBorder="1" applyAlignment="1">
      <alignment vertical="center"/>
    </xf>
    <xf numFmtId="0" fontId="18" fillId="0" borderId="0" xfId="0" applyFont="1" applyAlignment="1">
      <alignment vertical="center"/>
    </xf>
    <xf numFmtId="3" fontId="12" fillId="0" borderId="0" xfId="0" applyNumberFormat="1" applyFont="1" applyAlignment="1">
      <alignment vertical="center"/>
    </xf>
    <xf numFmtId="0" fontId="12" fillId="0" borderId="3" xfId="0" applyFont="1" applyBorder="1" applyAlignment="1">
      <alignment horizontal="justify" vertical="center" wrapText="1"/>
    </xf>
    <xf numFmtId="174" fontId="14" fillId="0" borderId="3" xfId="18" applyNumberFormat="1" applyFont="1" applyBorder="1" applyAlignment="1">
      <alignment horizontal="justify" vertical="center" wrapText="1"/>
    </xf>
    <xf numFmtId="0" fontId="14" fillId="0" borderId="3" xfId="0" quotePrefix="1" applyFont="1" applyBorder="1" applyAlignment="1">
      <alignment horizontal="justify" vertical="center" wrapText="1"/>
    </xf>
    <xf numFmtId="0" fontId="12" fillId="0" borderId="3" xfId="0" quotePrefix="1" applyFont="1" applyBorder="1" applyAlignment="1">
      <alignment horizontal="justify" vertical="center" wrapText="1"/>
    </xf>
    <xf numFmtId="0" fontId="18" fillId="0" borderId="3" xfId="0" quotePrefix="1" applyFont="1" applyBorder="1" applyAlignment="1">
      <alignment horizontal="justify" vertical="center" wrapText="1"/>
    </xf>
    <xf numFmtId="0" fontId="14" fillId="0" borderId="3" xfId="0" applyFont="1" applyBorder="1" applyAlignment="1">
      <alignment vertical="center"/>
    </xf>
    <xf numFmtId="169" fontId="14" fillId="0" borderId="3" xfId="0" applyNumberFormat="1" applyFont="1" applyBorder="1" applyAlignment="1">
      <alignment vertical="center"/>
    </xf>
    <xf numFmtId="0" fontId="12" fillId="0" borderId="3" xfId="0" applyFont="1" applyBorder="1" applyAlignment="1">
      <alignment vertical="center" wrapText="1"/>
    </xf>
    <xf numFmtId="169" fontId="12" fillId="0" borderId="3" xfId="1" applyNumberFormat="1" applyFont="1" applyBorder="1" applyAlignment="1">
      <alignment vertical="center"/>
    </xf>
    <xf numFmtId="3" fontId="12" fillId="0" borderId="3" xfId="1" applyNumberFormat="1" applyFont="1" applyBorder="1" applyAlignment="1">
      <alignment vertical="center"/>
    </xf>
    <xf numFmtId="169" fontId="14" fillId="0" borderId="3" xfId="1" applyNumberFormat="1" applyFont="1" applyBorder="1" applyAlignment="1">
      <alignment vertical="center"/>
    </xf>
    <xf numFmtId="169" fontId="12" fillId="0" borderId="3" xfId="1" applyNumberFormat="1" applyFont="1" applyFill="1" applyBorder="1" applyAlignment="1">
      <alignment vertical="center"/>
    </xf>
    <xf numFmtId="169" fontId="14" fillId="0" borderId="3" xfId="1" applyNumberFormat="1" applyFont="1" applyFill="1" applyBorder="1" applyAlignment="1">
      <alignment vertical="center"/>
    </xf>
    <xf numFmtId="0" fontId="100" fillId="0" borderId="3" xfId="0" applyFont="1" applyBorder="1" applyAlignment="1">
      <alignment horizontal="center" vertical="center" wrapText="1"/>
    </xf>
    <xf numFmtId="0" fontId="66" fillId="0" borderId="0" xfId="11" applyFont="1" applyAlignment="1">
      <alignment horizontal="center" vertical="center"/>
    </xf>
    <xf numFmtId="0" fontId="34" fillId="0" borderId="0" xfId="11" applyFont="1" applyAlignment="1">
      <alignment horizontal="center" vertical="center"/>
    </xf>
    <xf numFmtId="170" fontId="6" fillId="0" borderId="0" xfId="12" applyNumberFormat="1" applyFont="1" applyAlignment="1">
      <alignment horizontal="center" vertical="center" wrapText="1"/>
    </xf>
    <xf numFmtId="3" fontId="56" fillId="2" borderId="9" xfId="11" applyNumberFormat="1" applyFont="1" applyFill="1" applyBorder="1" applyAlignment="1">
      <alignment horizontal="right" vertical="center"/>
    </xf>
    <xf numFmtId="0" fontId="34" fillId="0" borderId="0" xfId="11" applyFont="1" applyAlignment="1">
      <alignment horizontal="center" vertical="center" wrapText="1"/>
    </xf>
    <xf numFmtId="170" fontId="34" fillId="0" borderId="0" xfId="12" applyNumberFormat="1" applyFont="1" applyAlignment="1">
      <alignment horizontal="center" vertical="center" wrapText="1"/>
    </xf>
    <xf numFmtId="0" fontId="56" fillId="0" borderId="0" xfId="0" applyFont="1" applyAlignment="1">
      <alignment horizontal="center" vertical="center" wrapText="1"/>
    </xf>
    <xf numFmtId="0" fontId="56" fillId="0" borderId="0" xfId="11" applyFont="1" applyAlignment="1">
      <alignment horizontal="right"/>
    </xf>
    <xf numFmtId="0" fontId="76" fillId="0" borderId="3" xfId="0" applyFont="1" applyBorder="1" applyAlignment="1">
      <alignment horizontal="center" vertical="center" wrapText="1"/>
    </xf>
    <xf numFmtId="3" fontId="76" fillId="0" borderId="10" xfId="0" applyNumberFormat="1" applyFont="1" applyBorder="1" applyAlignment="1">
      <alignment horizontal="center" vertical="center" wrapText="1"/>
    </xf>
    <xf numFmtId="3" fontId="76" fillId="0" borderId="11" xfId="0" applyNumberFormat="1" applyFont="1" applyBorder="1" applyAlignment="1">
      <alignment horizontal="center" vertical="center" wrapText="1"/>
    </xf>
    <xf numFmtId="3" fontId="76" fillId="0" borderId="12" xfId="0" applyNumberFormat="1" applyFont="1" applyBorder="1" applyAlignment="1">
      <alignment horizontal="center" vertical="center" wrapText="1"/>
    </xf>
    <xf numFmtId="3" fontId="76" fillId="0" borderId="7" xfId="0" applyNumberFormat="1" applyFont="1" applyBorder="1" applyAlignment="1">
      <alignment horizontal="center" vertical="center" wrapText="1"/>
    </xf>
    <xf numFmtId="3" fontId="76" fillId="0" borderId="13" xfId="0" applyNumberFormat="1" applyFont="1" applyBorder="1" applyAlignment="1">
      <alignment horizontal="center" vertical="center" wrapText="1"/>
    </xf>
    <xf numFmtId="0" fontId="76" fillId="0" borderId="7" xfId="0" applyFont="1" applyBorder="1" applyAlignment="1">
      <alignment horizontal="center" vertical="center" wrapText="1"/>
    </xf>
    <xf numFmtId="0" fontId="76" fillId="0" borderId="13"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6" xfId="0" applyFont="1" applyBorder="1" applyAlignment="1">
      <alignment horizontal="center" vertical="center" wrapText="1"/>
    </xf>
    <xf numFmtId="0" fontId="51" fillId="0" borderId="4" xfId="0" applyFont="1" applyBorder="1" applyAlignment="1">
      <alignment horizontal="center" vertical="center" wrapText="1"/>
    </xf>
    <xf numFmtId="0" fontId="92" fillId="0" borderId="3" xfId="0" applyFont="1" applyBorder="1" applyAlignment="1">
      <alignment horizontal="center" vertical="center"/>
    </xf>
    <xf numFmtId="0" fontId="90" fillId="0" borderId="0" xfId="0" applyFont="1" applyAlignment="1">
      <alignment horizontal="center" vertical="center"/>
    </xf>
    <xf numFmtId="0" fontId="34" fillId="0" borderId="0" xfId="0" applyFont="1" applyAlignment="1">
      <alignment horizontal="center" vertical="center" wrapText="1"/>
    </xf>
    <xf numFmtId="0" fontId="56" fillId="0" borderId="9" xfId="0" applyFont="1" applyBorder="1" applyAlignment="1">
      <alignment horizontal="right" vertical="center"/>
    </xf>
    <xf numFmtId="0" fontId="51" fillId="0" borderId="10" xfId="0" applyFont="1" applyBorder="1" applyAlignment="1">
      <alignment horizontal="center" vertical="center" wrapText="1"/>
    </xf>
    <xf numFmtId="0" fontId="51" fillId="0" borderId="11" xfId="0" applyFont="1" applyBorder="1" applyAlignment="1">
      <alignment horizontal="center" vertical="center" wrapText="1"/>
    </xf>
    <xf numFmtId="0" fontId="51" fillId="0" borderId="12" xfId="0" applyFont="1" applyBorder="1" applyAlignment="1">
      <alignment horizontal="center" vertical="center" wrapText="1"/>
    </xf>
    <xf numFmtId="0" fontId="51" fillId="0" borderId="13" xfId="0" applyFont="1" applyBorder="1" applyAlignment="1">
      <alignment horizontal="center" vertical="center" wrapText="1"/>
    </xf>
    <xf numFmtId="0" fontId="34" fillId="0" borderId="0" xfId="0" applyFont="1" applyAlignment="1">
      <alignment horizontal="center" vertical="center"/>
    </xf>
    <xf numFmtId="0" fontId="60" fillId="0" borderId="3" xfId="0" applyFont="1" applyBorder="1" applyAlignment="1">
      <alignment horizontal="center" vertical="center" wrapText="1"/>
    </xf>
    <xf numFmtId="0" fontId="56" fillId="0" borderId="0" xfId="0" applyFont="1" applyAlignment="1">
      <alignment horizontal="center" vertical="center"/>
    </xf>
    <xf numFmtId="0" fontId="35" fillId="0" borderId="3" xfId="0" applyFont="1" applyBorder="1" applyAlignment="1">
      <alignment horizontal="center" vertical="center" wrapText="1"/>
    </xf>
    <xf numFmtId="0" fontId="35" fillId="0" borderId="0" xfId="0" applyFont="1" applyAlignment="1">
      <alignment horizontal="center" vertical="center"/>
    </xf>
    <xf numFmtId="0" fontId="27" fillId="0" borderId="0" xfId="0" applyFont="1" applyAlignment="1">
      <alignment horizontal="center" vertical="center"/>
    </xf>
    <xf numFmtId="0" fontId="27" fillId="0" borderId="0" xfId="0" applyFont="1" applyAlignment="1">
      <alignment horizontal="right" vertical="center"/>
    </xf>
    <xf numFmtId="0" fontId="27" fillId="0" borderId="0" xfId="0" applyFont="1" applyAlignment="1">
      <alignment horizontal="center" vertical="center" wrapText="1"/>
    </xf>
    <xf numFmtId="0" fontId="28" fillId="0" borderId="0" xfId="0" applyFont="1" applyAlignment="1">
      <alignment horizontal="center" vertical="center"/>
    </xf>
    <xf numFmtId="0" fontId="33" fillId="0" borderId="3" xfId="0" applyFont="1" applyBorder="1" applyAlignment="1">
      <alignment horizontal="center" vertical="center" wrapText="1"/>
    </xf>
    <xf numFmtId="3" fontId="33" fillId="0" borderId="3" xfId="0" applyNumberFormat="1" applyFont="1" applyBorder="1" applyAlignment="1">
      <alignment horizontal="right" vertical="center" wrapText="1"/>
    </xf>
    <xf numFmtId="0" fontId="33" fillId="2" borderId="3" xfId="0" applyFont="1" applyFill="1" applyBorder="1" applyAlignment="1">
      <alignment horizontal="right" vertical="center" wrapText="1"/>
    </xf>
    <xf numFmtId="0" fontId="33" fillId="0" borderId="3" xfId="0" applyFont="1" applyBorder="1" applyAlignment="1">
      <alignment horizontal="right"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3" fontId="33" fillId="2" borderId="3" xfId="0" applyNumberFormat="1" applyFont="1" applyFill="1" applyBorder="1" applyAlignment="1">
      <alignment horizontal="right" vertical="center" wrapText="1"/>
    </xf>
    <xf numFmtId="37" fontId="33" fillId="0" borderId="3" xfId="0" applyNumberFormat="1" applyFont="1" applyBorder="1" applyAlignment="1">
      <alignment horizontal="right" vertical="center" wrapText="1"/>
    </xf>
    <xf numFmtId="9" fontId="33" fillId="0" borderId="7" xfId="2" applyFont="1" applyBorder="1" applyAlignment="1">
      <alignment horizontal="center" vertical="center" wrapText="1"/>
    </xf>
    <xf numFmtId="9" fontId="33" fillId="0" borderId="8" xfId="2" applyFont="1" applyBorder="1" applyAlignment="1">
      <alignment horizontal="center" vertical="center" wrapText="1"/>
    </xf>
    <xf numFmtId="0" fontId="35" fillId="0" borderId="0" xfId="0" applyFont="1" applyAlignment="1">
      <alignment horizontal="center" vertical="center" wrapText="1"/>
    </xf>
    <xf numFmtId="0" fontId="100" fillId="0" borderId="3" xfId="0" applyFont="1" applyBorder="1" applyAlignment="1">
      <alignment horizontal="center" vertical="center" wrapText="1"/>
    </xf>
    <xf numFmtId="0" fontId="101" fillId="0" borderId="0" xfId="0" applyFont="1" applyAlignment="1">
      <alignment horizontal="center" vertical="center" wrapText="1"/>
    </xf>
    <xf numFmtId="0" fontId="101" fillId="0" borderId="0" xfId="0" applyFont="1" applyAlignment="1">
      <alignment horizontal="center" vertical="center"/>
    </xf>
    <xf numFmtId="0" fontId="100" fillId="0" borderId="0" xfId="0" applyFont="1" applyAlignment="1">
      <alignment horizontal="center" vertical="center"/>
    </xf>
    <xf numFmtId="0" fontId="100" fillId="0" borderId="0" xfId="0" applyFont="1" applyAlignment="1">
      <alignment horizontal="center" vertical="center" wrapText="1"/>
    </xf>
    <xf numFmtId="0" fontId="101" fillId="0" borderId="9" xfId="0" applyFont="1" applyBorder="1" applyAlignment="1">
      <alignment horizontal="right" vertical="center"/>
    </xf>
    <xf numFmtId="0" fontId="100" fillId="0" borderId="7" xfId="0" applyFont="1" applyBorder="1" applyAlignment="1">
      <alignment horizontal="center" vertical="center" wrapText="1"/>
    </xf>
    <xf numFmtId="0" fontId="100" fillId="0" borderId="8" xfId="0" applyFont="1" applyBorder="1" applyAlignment="1">
      <alignment horizontal="center" vertical="center" wrapText="1"/>
    </xf>
    <xf numFmtId="0" fontId="101" fillId="0" borderId="0" xfId="0" applyFont="1" applyAlignment="1">
      <alignment horizontal="right" vertical="center"/>
    </xf>
    <xf numFmtId="0" fontId="60" fillId="0" borderId="0" xfId="0" applyFont="1" applyAlignment="1">
      <alignment horizontal="center" vertical="center"/>
    </xf>
    <xf numFmtId="0" fontId="62" fillId="0" borderId="0" xfId="0" applyFont="1" applyAlignment="1">
      <alignment horizontal="center" vertical="center"/>
    </xf>
    <xf numFmtId="0" fontId="62" fillId="0" borderId="0" xfId="0" applyFont="1" applyAlignment="1">
      <alignment horizontal="right" vertical="center"/>
    </xf>
    <xf numFmtId="0" fontId="62" fillId="0" borderId="0" xfId="0" applyFont="1" applyAlignment="1">
      <alignment horizontal="center" vertical="center" wrapText="1"/>
    </xf>
    <xf numFmtId="0" fontId="104" fillId="0" borderId="0" xfId="0" applyFont="1" applyAlignment="1">
      <alignment horizontal="center" vertical="center"/>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82" fillId="0" borderId="14" xfId="0" applyFont="1" applyBorder="1" applyAlignment="1">
      <alignment vertical="center" wrapText="1"/>
    </xf>
    <xf numFmtId="0" fontId="82" fillId="0" borderId="15" xfId="0" applyFont="1" applyBorder="1" applyAlignment="1">
      <alignment vertical="center" wrapText="1"/>
    </xf>
    <xf numFmtId="0" fontId="82" fillId="0" borderId="16" xfId="0" applyFont="1" applyBorder="1" applyAlignment="1">
      <alignment vertical="center" wrapText="1"/>
    </xf>
    <xf numFmtId="0" fontId="80" fillId="0" borderId="14" xfId="0" applyFont="1" applyBorder="1" applyAlignment="1">
      <alignment horizontal="center" vertical="center" wrapText="1"/>
    </xf>
    <xf numFmtId="0" fontId="80" fillId="0" borderId="16" xfId="0" applyFont="1" applyBorder="1" applyAlignment="1">
      <alignment horizontal="center" vertical="center" wrapText="1"/>
    </xf>
    <xf numFmtId="0" fontId="80" fillId="0" borderId="15" xfId="0" applyFont="1" applyBorder="1" applyAlignment="1">
      <alignment horizontal="center" vertical="center" wrapText="1"/>
    </xf>
    <xf numFmtId="0" fontId="80" fillId="0" borderId="21" xfId="0" applyFont="1" applyBorder="1" applyAlignment="1">
      <alignment horizontal="center" vertical="center" wrapText="1"/>
    </xf>
    <xf numFmtId="0" fontId="80" fillId="0" borderId="20" xfId="0" applyFont="1" applyBorder="1" applyAlignment="1">
      <alignment horizontal="center" vertical="center" wrapText="1"/>
    </xf>
    <xf numFmtId="0" fontId="80" fillId="0" borderId="17" xfId="0" applyFont="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6" fillId="2" borderId="0" xfId="0" applyFont="1" applyFill="1" applyAlignment="1">
      <alignment horizontal="center" vertical="center" wrapText="1"/>
    </xf>
    <xf numFmtId="0" fontId="6" fillId="0" borderId="1" xfId="0" applyFont="1" applyBorder="1" applyAlignment="1">
      <alignment horizontal="right" vertical="center"/>
    </xf>
    <xf numFmtId="0" fontId="19" fillId="0" borderId="0" xfId="0" applyFont="1" applyAlignment="1">
      <alignment horizontal="left" vertical="center" wrapText="1"/>
    </xf>
    <xf numFmtId="3" fontId="21" fillId="0" borderId="0" xfId="3" applyNumberFormat="1" applyFont="1" applyAlignment="1">
      <alignment horizontal="right" vertical="center" wrapText="1"/>
    </xf>
    <xf numFmtId="0" fontId="23" fillId="0" borderId="0" xfId="4" applyFont="1" applyAlignment="1">
      <alignment horizontal="center"/>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0" xfId="0" applyFont="1" applyAlignment="1">
      <alignment horizontal="center" vertical="center" wrapText="1"/>
    </xf>
    <xf numFmtId="0" fontId="15"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right" vertical="center"/>
    </xf>
    <xf numFmtId="0" fontId="29" fillId="0" borderId="3" xfId="0" applyFont="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horizontal="center" vertical="center"/>
    </xf>
    <xf numFmtId="0" fontId="30" fillId="0" borderId="9" xfId="0" applyFont="1" applyBorder="1" applyAlignment="1">
      <alignment horizontal="right" vertical="center"/>
    </xf>
    <xf numFmtId="0" fontId="3" fillId="0" borderId="0" xfId="0" applyFont="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vertical="center"/>
    </xf>
    <xf numFmtId="0" fontId="17" fillId="0" borderId="9" xfId="0" applyFont="1" applyBorder="1" applyAlignment="1">
      <alignment horizontal="right" vertical="center"/>
    </xf>
    <xf numFmtId="0" fontId="39" fillId="0" borderId="3" xfId="0" applyFont="1" applyBorder="1" applyAlignment="1">
      <alignment horizontal="center" vertical="center" wrapText="1"/>
    </xf>
    <xf numFmtId="0" fontId="36" fillId="0" borderId="0" xfId="0" applyFont="1" applyAlignment="1">
      <alignment horizontal="center" vertical="center"/>
    </xf>
    <xf numFmtId="0" fontId="37" fillId="0" borderId="0" xfId="0" applyFont="1" applyAlignment="1">
      <alignment horizontal="center" vertical="center"/>
    </xf>
    <xf numFmtId="0" fontId="38" fillId="0" borderId="0" xfId="0" applyFont="1" applyAlignment="1">
      <alignment horizontal="center" vertical="center"/>
    </xf>
    <xf numFmtId="3" fontId="6" fillId="0" borderId="0" xfId="0" applyNumberFormat="1" applyFont="1" applyAlignment="1">
      <alignment horizontal="center" vertical="center"/>
    </xf>
    <xf numFmtId="0" fontId="6" fillId="0" borderId="9" xfId="0" applyFont="1" applyBorder="1" applyAlignment="1">
      <alignment horizontal="right" vertical="center"/>
    </xf>
    <xf numFmtId="0" fontId="34" fillId="0" borderId="3" xfId="0" applyFont="1" applyBorder="1" applyAlignment="1">
      <alignment horizontal="center" vertical="center"/>
    </xf>
    <xf numFmtId="0" fontId="34" fillId="0" borderId="3" xfId="0" applyFont="1" applyBorder="1" applyAlignment="1">
      <alignment horizontal="center" vertical="center" wrapText="1"/>
    </xf>
    <xf numFmtId="3" fontId="34" fillId="0" borderId="4" xfId="0" applyNumberFormat="1" applyFont="1" applyBorder="1" applyAlignment="1">
      <alignment horizontal="center" vertical="center" wrapText="1"/>
    </xf>
    <xf numFmtId="3" fontId="34" fillId="0" borderId="6" xfId="0" applyNumberFormat="1" applyFont="1" applyBorder="1" applyAlignment="1">
      <alignment horizontal="center" vertical="center" wrapText="1"/>
    </xf>
    <xf numFmtId="3" fontId="17" fillId="0" borderId="0" xfId="0" applyNumberFormat="1" applyFont="1" applyAlignment="1">
      <alignment horizontal="center" vertical="center"/>
    </xf>
    <xf numFmtId="0" fontId="12" fillId="0" borderId="3" xfId="0" applyFont="1" applyBorder="1" applyAlignment="1">
      <alignment horizontal="center" vertical="center"/>
    </xf>
    <xf numFmtId="3" fontId="12" fillId="0" borderId="4" xfId="0" applyNumberFormat="1" applyFont="1" applyBorder="1" applyAlignment="1">
      <alignment horizontal="center" vertical="center" wrapText="1"/>
    </xf>
    <xf numFmtId="3" fontId="12" fillId="0" borderId="6" xfId="0" applyNumberFormat="1" applyFont="1" applyBorder="1" applyAlignment="1">
      <alignment horizontal="center" vertical="center" wrapText="1"/>
    </xf>
    <xf numFmtId="0" fontId="77" fillId="0" borderId="22" xfId="0" applyFont="1" applyBorder="1" applyAlignment="1">
      <alignment horizontal="center" vertical="center" wrapText="1"/>
    </xf>
    <xf numFmtId="0" fontId="77" fillId="0" borderId="0" xfId="0" applyFont="1" applyAlignment="1">
      <alignment horizontal="center" vertical="center" wrapText="1"/>
    </xf>
    <xf numFmtId="169" fontId="76" fillId="0" borderId="7" xfId="16" applyNumberFormat="1" applyFont="1" applyFill="1" applyBorder="1" applyAlignment="1">
      <alignment horizontal="center" vertical="center" wrapText="1"/>
    </xf>
    <xf numFmtId="169" fontId="76" fillId="0" borderId="13" xfId="16" applyNumberFormat="1" applyFont="1" applyFill="1" applyBorder="1" applyAlignment="1">
      <alignment horizontal="center" vertical="center" wrapText="1"/>
    </xf>
    <xf numFmtId="169" fontId="76" fillId="0" borderId="8" xfId="16" applyNumberFormat="1" applyFont="1" applyFill="1" applyBorder="1" applyAlignment="1">
      <alignment horizontal="center" vertical="center" wrapText="1"/>
    </xf>
    <xf numFmtId="169" fontId="77" fillId="0" borderId="0" xfId="16" quotePrefix="1" applyNumberFormat="1" applyFont="1" applyFill="1" applyBorder="1" applyAlignment="1">
      <alignment horizontal="left" vertical="center" wrapText="1"/>
    </xf>
    <xf numFmtId="49" fontId="77" fillId="0" borderId="0" xfId="16" quotePrefix="1" applyNumberFormat="1" applyFont="1" applyFill="1" applyBorder="1" applyAlignment="1">
      <alignment horizontal="left" vertical="center" wrapText="1"/>
    </xf>
    <xf numFmtId="3" fontId="61" fillId="0" borderId="7" xfId="0" applyNumberFormat="1" applyFont="1" applyBorder="1" applyAlignment="1">
      <alignment horizontal="center" vertical="center" wrapText="1"/>
    </xf>
    <xf numFmtId="3" fontId="61" fillId="0" borderId="13" xfId="0" applyNumberFormat="1" applyFont="1" applyBorder="1" applyAlignment="1">
      <alignment horizontal="center" vertical="center" wrapText="1"/>
    </xf>
    <xf numFmtId="3" fontId="61" fillId="0" borderId="8" xfId="0" applyNumberFormat="1" applyFont="1" applyBorder="1" applyAlignment="1">
      <alignment horizontal="center" vertical="center" wrapText="1"/>
    </xf>
    <xf numFmtId="3" fontId="56" fillId="0" borderId="0" xfId="0" applyNumberFormat="1" applyFont="1" applyAlignment="1">
      <alignment horizontal="center" vertical="center"/>
    </xf>
    <xf numFmtId="0" fontId="86" fillId="0" borderId="22" xfId="0" applyFont="1" applyBorder="1" applyAlignment="1">
      <alignment horizontal="center" vertical="center" wrapText="1"/>
    </xf>
    <xf numFmtId="0" fontId="86" fillId="0" borderId="0" xfId="0" applyFont="1" applyAlignment="1">
      <alignment horizontal="center" vertical="center" wrapText="1"/>
    </xf>
    <xf numFmtId="169" fontId="34" fillId="0" borderId="0" xfId="16" applyNumberFormat="1" applyFont="1" applyFill="1" applyAlignment="1">
      <alignment horizontal="center" vertical="center"/>
    </xf>
    <xf numFmtId="169" fontId="76" fillId="0" borderId="3" xfId="16" applyNumberFormat="1" applyFont="1" applyFill="1" applyBorder="1" applyAlignment="1">
      <alignment horizontal="center" vertical="center" wrapText="1"/>
    </xf>
    <xf numFmtId="3" fontId="56" fillId="0" borderId="0" xfId="0" applyNumberFormat="1" applyFont="1" applyAlignment="1">
      <alignment horizontal="right" vertical="center" wrapText="1"/>
    </xf>
    <xf numFmtId="173" fontId="76" fillId="0" borderId="3" xfId="16" applyNumberFormat="1" applyFont="1" applyFill="1" applyBorder="1" applyAlignment="1">
      <alignment horizontal="center" vertical="center" wrapText="1"/>
    </xf>
    <xf numFmtId="0" fontId="12" fillId="0" borderId="0" xfId="0" applyFont="1" applyAlignment="1">
      <alignment horizontal="center" vertical="center"/>
    </xf>
    <xf numFmtId="3" fontId="18" fillId="0" borderId="0" xfId="0" applyNumberFormat="1" applyFont="1" applyAlignment="1">
      <alignment horizontal="center" vertical="center"/>
    </xf>
    <xf numFmtId="0" fontId="18" fillId="0" borderId="0" xfId="0" applyFont="1" applyAlignment="1">
      <alignment horizontal="right" vertical="center"/>
    </xf>
    <xf numFmtId="0" fontId="10" fillId="0" borderId="3" xfId="0" applyFont="1" applyBorder="1" applyAlignment="1">
      <alignment horizontal="center" vertical="center" wrapText="1"/>
    </xf>
    <xf numFmtId="0" fontId="10"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43" fillId="0" borderId="0" xfId="0" applyFont="1" applyAlignment="1">
      <alignment horizontal="center" vertical="center" wrapText="1"/>
    </xf>
    <xf numFmtId="0" fontId="43" fillId="0" borderId="0" xfId="0" applyFont="1" applyAlignment="1">
      <alignment horizontal="center" vertical="center"/>
    </xf>
    <xf numFmtId="0" fontId="44" fillId="0" borderId="0" xfId="0" applyFont="1" applyAlignment="1">
      <alignment horizontal="center" vertical="center"/>
    </xf>
    <xf numFmtId="0" fontId="46" fillId="0" borderId="0" xfId="0" applyFont="1" applyAlignment="1">
      <alignment horizontal="center" vertical="center"/>
    </xf>
    <xf numFmtId="0" fontId="47" fillId="0" borderId="0" xfId="0" applyFont="1" applyAlignment="1">
      <alignment horizontal="center" vertical="center"/>
    </xf>
    <xf numFmtId="0" fontId="47" fillId="0" borderId="9" xfId="0" applyFont="1" applyBorder="1" applyAlignment="1">
      <alignment horizontal="right" vertical="center"/>
    </xf>
    <xf numFmtId="0" fontId="48" fillId="0" borderId="3" xfId="0" applyFont="1" applyBorder="1" applyAlignment="1">
      <alignment horizontal="center" vertical="center" wrapText="1"/>
    </xf>
  </cellXfs>
  <cellStyles count="21">
    <cellStyle name="Bình thường" xfId="0" builtinId="0"/>
    <cellStyle name="Bình thường 2" xfId="8"/>
    <cellStyle name="Bình thường 3" xfId="7"/>
    <cellStyle name="Bình thường 4" xfId="9"/>
    <cellStyle name="Bình thường 5" xfId="10"/>
    <cellStyle name="Comma 10" xfId="13"/>
    <cellStyle name="Comma 12" xfId="20"/>
    <cellStyle name="Comma 5" xfId="16"/>
    <cellStyle name="Dấu_phảy" xfId="1" builtinId="3"/>
    <cellStyle name="Kiểu 1" xfId="6"/>
    <cellStyle name="Normal 17" xfId="3"/>
    <cellStyle name="Normal 2" xfId="5"/>
    <cellStyle name="Normal 2 2" xfId="4"/>
    <cellStyle name="Normal 4" xfId="19"/>
    <cellStyle name="Normal 6" xfId="14"/>
    <cellStyle name="Normal_060331 Bieu tinh chi thuong xuyen NSDP 2007 theo DM bc TTg" xfId="17"/>
    <cellStyle name="Normal_Bieu TH so thu nam 2007 Cac don vi va toan nganh" xfId="11"/>
    <cellStyle name="Normal_Sheet1" xfId="12"/>
    <cellStyle name="Normal_Sheet1 2" xfId="18"/>
    <cellStyle name="Percent 3" xfId="15"/>
    <cellStyle name="Phần_tră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7870;%20TO&#193;N%202025/2.%20C&#212;NG%20VI&#7878;C%20C&#7844;P%20X&#195;/BC%20H&#272;ND%20x&#227;/H&#7885;p%20T12/c&#225;c%20bi&#7875;u%20s&#7889;%20li&#7879;u/Thu&#787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7870;%20TO&#193;N%202025/2.%20C&#212;NG%20VI&#7878;C%20C&#7844;P%20X&#195;/BC%20H&#272;ND%20x&#227;/H&#7885;p%20T9/1.%20TTr,%20DT%20&#273;i&#7873;u%20ch&#7881;nh%20ph&#226;n%20b&#7893;%20T9/1.%20Q&#272;%20&#272;C%20PB%20DT%206%20th&#225;ng%20x&#227;%20CM%201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AppData/Local/Temp/VNPT%20Plugin/7cdfac92-5d88-4bdd-ad91-d9cb49d6988d/1.%20TTr%20PB%20DT%20n&#259;m%202026%20N%2027-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 VSN 2025"/>
      <sheetName val="VĐT cũ"/>
      <sheetName val="BC VĐT 2025"/>
      <sheetName val="BC VĐT "/>
      <sheetName val="12"/>
      <sheetName val="13"/>
      <sheetName val="14"/>
      <sheetName val="15"/>
      <sheetName val="16"/>
      <sheetName val="17"/>
      <sheetName val="23"/>
      <sheetName val="34"/>
      <sheetName val="35"/>
      <sheetName val="36"/>
      <sheetName val="37"/>
      <sheetName val="38"/>
      <sheetName val="45"/>
      <sheetName val="46"/>
    </sheetNames>
    <sheetDataSet>
      <sheetData sheetId="0"/>
      <sheetData sheetId="1"/>
      <sheetData sheetId="2"/>
      <sheetData sheetId="3"/>
      <sheetData sheetId="4"/>
      <sheetData sheetId="5"/>
      <sheetData sheetId="6"/>
      <sheetData sheetId="7"/>
      <sheetData sheetId="8">
        <row r="11">
          <cell r="C11">
            <v>0</v>
          </cell>
        </row>
        <row r="15">
          <cell r="C15">
            <v>0</v>
          </cell>
        </row>
        <row r="26">
          <cell r="C26">
            <v>0</v>
          </cell>
        </row>
        <row r="27">
          <cell r="C27">
            <v>0</v>
          </cell>
        </row>
        <row r="31">
          <cell r="C31">
            <v>0</v>
          </cell>
        </row>
        <row r="32">
          <cell r="C32">
            <v>0</v>
          </cell>
        </row>
      </sheetData>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Cân đối"/>
      <sheetName val="16-Thu theo lĩnh vực"/>
      <sheetName val="17-Chi theo cơ cấu"/>
      <sheetName val="31-Thu xã (tổng)"/>
      <sheetName val="32. Thu xã theo sắc thuế"/>
      <sheetName val="Chi xã"/>
      <sheetName val="Sheet3"/>
      <sheetName val="Chi"/>
      <sheetName val="33. Chi NSĐP"/>
      <sheetName val="34. CHI NS xã"/>
      <sheetName val="VĐT"/>
      <sheetName val="VĐT năm 2025"/>
      <sheetName val="VSN"/>
      <sheetName val="35"/>
      <sheetName val="36"/>
      <sheetName val="37.01 ĐP"/>
      <sheetName val="37.02 TW"/>
      <sheetName val="37"/>
      <sheetName val="38"/>
      <sheetName val="Biểu 01"/>
      <sheetName val="Biểu 02 gộp"/>
      <sheetName val="Phân SN"/>
      <sheetName val="Biểu 02"/>
      <sheetName val="39"/>
      <sheetName val="41"/>
      <sheetName val="45"/>
      <sheetName val="Chi tiết SN"/>
      <sheetName val="46"/>
      <sheetName val="42"/>
      <sheetName val="38,01 TW"/>
      <sheetName val="38.02 ĐP"/>
      <sheetName val="39.DT thu chi NSĐP"/>
      <sheetName val="41. DT chi NSX"/>
      <sheetName val="42. DT bổ sung có mục tiê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0">
          <cell r="B10" t="str">
            <v>Phòng Kinh tế</v>
          </cell>
        </row>
        <row r="11">
          <cell r="B11" t="str">
            <v>Phòng Văn hóa - Xã hội</v>
          </cell>
        </row>
      </sheetData>
      <sheetData sheetId="15"/>
      <sheetData sheetId="16"/>
      <sheetData sheetId="17"/>
      <sheetData sheetId="18"/>
      <sheetData sheetId="19"/>
      <sheetData sheetId="20"/>
      <sheetData sheetId="21"/>
      <sheetData sheetId="22">
        <row r="9">
          <cell r="I9">
            <v>125799121958.12</v>
          </cell>
        </row>
        <row r="288">
          <cell r="I288">
            <v>5154353000.3199997</v>
          </cell>
        </row>
        <row r="289">
          <cell r="H289">
            <v>13507000</v>
          </cell>
          <cell r="I289">
            <v>3532885000</v>
          </cell>
        </row>
        <row r="325">
          <cell r="H325">
            <v>8400000</v>
          </cell>
          <cell r="I325">
            <v>1103520000</v>
          </cell>
        </row>
        <row r="355">
          <cell r="H355">
            <v>4080000</v>
          </cell>
          <cell r="I355">
            <v>517948000.31999999</v>
          </cell>
        </row>
        <row r="377">
          <cell r="H377">
            <v>13800000</v>
          </cell>
          <cell r="I377">
            <v>2801920000</v>
          </cell>
        </row>
        <row r="454">
          <cell r="I454">
            <v>89634208200</v>
          </cell>
        </row>
        <row r="456">
          <cell r="H456">
            <v>34000000</v>
          </cell>
        </row>
        <row r="466">
          <cell r="H466">
            <v>30000000</v>
          </cell>
        </row>
        <row r="473">
          <cell r="H473">
            <v>20000000</v>
          </cell>
        </row>
        <row r="484">
          <cell r="H484">
            <v>57000000</v>
          </cell>
        </row>
        <row r="497">
          <cell r="H497">
            <v>54000000</v>
          </cell>
        </row>
        <row r="512">
          <cell r="H512">
            <v>33000000</v>
          </cell>
        </row>
        <row r="525">
          <cell r="H525">
            <v>30000000</v>
          </cell>
        </row>
        <row r="539">
          <cell r="H539">
            <v>26000000</v>
          </cell>
        </row>
        <row r="553">
          <cell r="H553">
            <v>26000000</v>
          </cell>
        </row>
        <row r="568">
          <cell r="I568">
            <v>232900000</v>
          </cell>
        </row>
      </sheetData>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Cân đối"/>
      <sheetName val="16-Thu theo lĩnh vực"/>
      <sheetName val="17-Chi theo cơ cấu"/>
      <sheetName val="34. CHI NS xã"/>
      <sheetName val="35"/>
      <sheetName val="36"/>
      <sheetName val="37"/>
      <sheetName val="38"/>
      <sheetName val="Biểu 01"/>
      <sheetName val="Biểu 02 gộp"/>
      <sheetName val="Các chế độ CSHS"/>
      <sheetName val="Phân SN"/>
      <sheetName val="Chi tiết SN"/>
      <sheetName val="46"/>
    </sheetNames>
    <sheetDataSet>
      <sheetData sheetId="0" refreshError="1"/>
      <sheetData sheetId="1" refreshError="1"/>
      <sheetData sheetId="2" refreshError="1"/>
      <sheetData sheetId="3" refreshError="1"/>
      <sheetData sheetId="4">
        <row r="4">
          <cell r="A4" t="str">
            <v>(Kèm theo Quyết định số: 410/QĐ-UBND ngày  11/9/2025 của UBND xã Cao Minh)</v>
          </cell>
        </row>
      </sheetData>
      <sheetData sheetId="5" refreshError="1"/>
      <sheetData sheetId="6">
        <row r="10">
          <cell r="S10">
            <v>172000000</v>
          </cell>
        </row>
      </sheetData>
      <sheetData sheetId="7" refreshError="1"/>
      <sheetData sheetId="8">
        <row r="3">
          <cell r="A3" t="str">
            <v>(Kèm theo Quyết định số: 410/QĐ-UBND ngày  11/9/2025 của UBND xã Cao Minh)</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43"/>
  <sheetViews>
    <sheetView view="pageBreakPreview" topLeftCell="A2" zoomScale="115" zoomScaleNormal="100" zoomScaleSheetLayoutView="115" workbookViewId="0">
      <selection activeCell="B14" sqref="B14"/>
    </sheetView>
  </sheetViews>
  <sheetFormatPr defaultRowHeight="15.75" x14ac:dyDescent="0.25"/>
  <cols>
    <col min="1" max="1" width="4.5703125" style="198" customWidth="1"/>
    <col min="2" max="2" width="29.85546875" style="198" customWidth="1"/>
    <col min="3" max="3" width="15.85546875" style="198" customWidth="1"/>
    <col min="4" max="4" width="18.7109375" style="198" customWidth="1"/>
    <col min="5" max="5" width="14" style="237" customWidth="1"/>
    <col min="6" max="250" width="9" style="198"/>
    <col min="251" max="251" width="4.5703125" style="198" customWidth="1"/>
    <col min="252" max="252" width="29.85546875" style="198" customWidth="1"/>
    <col min="253" max="253" width="14.42578125" style="198" customWidth="1"/>
    <col min="254" max="254" width="14.28515625" style="198" customWidth="1"/>
    <col min="255" max="255" width="14.7109375" style="198" customWidth="1"/>
    <col min="256" max="256" width="10.85546875" style="198" customWidth="1"/>
    <col min="257" max="257" width="11.42578125" style="198" customWidth="1"/>
    <col min="258" max="258" width="21.28515625" style="198" customWidth="1"/>
    <col min="259" max="259" width="9" style="198"/>
    <col min="260" max="260" width="12.42578125" style="198" bestFit="1" customWidth="1"/>
    <col min="261" max="506" width="9" style="198"/>
    <col min="507" max="507" width="4.5703125" style="198" customWidth="1"/>
    <col min="508" max="508" width="29.85546875" style="198" customWidth="1"/>
    <col min="509" max="509" width="14.42578125" style="198" customWidth="1"/>
    <col min="510" max="510" width="14.28515625" style="198" customWidth="1"/>
    <col min="511" max="511" width="14.7109375" style="198" customWidth="1"/>
    <col min="512" max="512" width="10.85546875" style="198" customWidth="1"/>
    <col min="513" max="513" width="11.42578125" style="198" customWidth="1"/>
    <col min="514" max="514" width="21.28515625" style="198" customWidth="1"/>
    <col min="515" max="515" width="9" style="198"/>
    <col min="516" max="516" width="12.42578125" style="198" bestFit="1" customWidth="1"/>
    <col min="517" max="762" width="9" style="198"/>
    <col min="763" max="763" width="4.5703125" style="198" customWidth="1"/>
    <col min="764" max="764" width="29.85546875" style="198" customWidth="1"/>
    <col min="765" max="765" width="14.42578125" style="198" customWidth="1"/>
    <col min="766" max="766" width="14.28515625" style="198" customWidth="1"/>
    <col min="767" max="767" width="14.7109375" style="198" customWidth="1"/>
    <col min="768" max="768" width="10.85546875" style="198" customWidth="1"/>
    <col min="769" max="769" width="11.42578125" style="198" customWidth="1"/>
    <col min="770" max="770" width="21.28515625" style="198" customWidth="1"/>
    <col min="771" max="771" width="9" style="198"/>
    <col min="772" max="772" width="12.42578125" style="198" bestFit="1" customWidth="1"/>
    <col min="773" max="1018" width="9" style="198"/>
    <col min="1019" max="1019" width="4.5703125" style="198" customWidth="1"/>
    <col min="1020" max="1020" width="29.85546875" style="198" customWidth="1"/>
    <col min="1021" max="1021" width="14.42578125" style="198" customWidth="1"/>
    <col min="1022" max="1022" width="14.28515625" style="198" customWidth="1"/>
    <col min="1023" max="1023" width="14.7109375" style="198" customWidth="1"/>
    <col min="1024" max="1024" width="10.85546875" style="198" customWidth="1"/>
    <col min="1025" max="1025" width="11.42578125" style="198" customWidth="1"/>
    <col min="1026" max="1026" width="21.28515625" style="198" customWidth="1"/>
    <col min="1027" max="1027" width="9" style="198"/>
    <col min="1028" max="1028" width="12.42578125" style="198" bestFit="1" customWidth="1"/>
    <col min="1029" max="1274" width="9" style="198"/>
    <col min="1275" max="1275" width="4.5703125" style="198" customWidth="1"/>
    <col min="1276" max="1276" width="29.85546875" style="198" customWidth="1"/>
    <col min="1277" max="1277" width="14.42578125" style="198" customWidth="1"/>
    <col min="1278" max="1278" width="14.28515625" style="198" customWidth="1"/>
    <col min="1279" max="1279" width="14.7109375" style="198" customWidth="1"/>
    <col min="1280" max="1280" width="10.85546875" style="198" customWidth="1"/>
    <col min="1281" max="1281" width="11.42578125" style="198" customWidth="1"/>
    <col min="1282" max="1282" width="21.28515625" style="198" customWidth="1"/>
    <col min="1283" max="1283" width="9" style="198"/>
    <col min="1284" max="1284" width="12.42578125" style="198" bestFit="1" customWidth="1"/>
    <col min="1285" max="1530" width="9" style="198"/>
    <col min="1531" max="1531" width="4.5703125" style="198" customWidth="1"/>
    <col min="1532" max="1532" width="29.85546875" style="198" customWidth="1"/>
    <col min="1533" max="1533" width="14.42578125" style="198" customWidth="1"/>
    <col min="1534" max="1534" width="14.28515625" style="198" customWidth="1"/>
    <col min="1535" max="1535" width="14.7109375" style="198" customWidth="1"/>
    <col min="1536" max="1536" width="10.85546875" style="198" customWidth="1"/>
    <col min="1537" max="1537" width="11.42578125" style="198" customWidth="1"/>
    <col min="1538" max="1538" width="21.28515625" style="198" customWidth="1"/>
    <col min="1539" max="1539" width="9" style="198"/>
    <col min="1540" max="1540" width="12.42578125" style="198" bestFit="1" customWidth="1"/>
    <col min="1541" max="1786" width="9" style="198"/>
    <col min="1787" max="1787" width="4.5703125" style="198" customWidth="1"/>
    <col min="1788" max="1788" width="29.85546875" style="198" customWidth="1"/>
    <col min="1789" max="1789" width="14.42578125" style="198" customWidth="1"/>
    <col min="1790" max="1790" width="14.28515625" style="198" customWidth="1"/>
    <col min="1791" max="1791" width="14.7109375" style="198" customWidth="1"/>
    <col min="1792" max="1792" width="10.85546875" style="198" customWidth="1"/>
    <col min="1793" max="1793" width="11.42578125" style="198" customWidth="1"/>
    <col min="1794" max="1794" width="21.28515625" style="198" customWidth="1"/>
    <col min="1795" max="1795" width="9" style="198"/>
    <col min="1796" max="1796" width="12.42578125" style="198" bestFit="1" customWidth="1"/>
    <col min="1797" max="2042" width="9" style="198"/>
    <col min="2043" max="2043" width="4.5703125" style="198" customWidth="1"/>
    <col min="2044" max="2044" width="29.85546875" style="198" customWidth="1"/>
    <col min="2045" max="2045" width="14.42578125" style="198" customWidth="1"/>
    <col min="2046" max="2046" width="14.28515625" style="198" customWidth="1"/>
    <col min="2047" max="2047" width="14.7109375" style="198" customWidth="1"/>
    <col min="2048" max="2048" width="10.85546875" style="198" customWidth="1"/>
    <col min="2049" max="2049" width="11.42578125" style="198" customWidth="1"/>
    <col min="2050" max="2050" width="21.28515625" style="198" customWidth="1"/>
    <col min="2051" max="2051" width="9" style="198"/>
    <col min="2052" max="2052" width="12.42578125" style="198" bestFit="1" customWidth="1"/>
    <col min="2053" max="2298" width="9" style="198"/>
    <col min="2299" max="2299" width="4.5703125" style="198" customWidth="1"/>
    <col min="2300" max="2300" width="29.85546875" style="198" customWidth="1"/>
    <col min="2301" max="2301" width="14.42578125" style="198" customWidth="1"/>
    <col min="2302" max="2302" width="14.28515625" style="198" customWidth="1"/>
    <col min="2303" max="2303" width="14.7109375" style="198" customWidth="1"/>
    <col min="2304" max="2304" width="10.85546875" style="198" customWidth="1"/>
    <col min="2305" max="2305" width="11.42578125" style="198" customWidth="1"/>
    <col min="2306" max="2306" width="21.28515625" style="198" customWidth="1"/>
    <col min="2307" max="2307" width="9" style="198"/>
    <col min="2308" max="2308" width="12.42578125" style="198" bestFit="1" customWidth="1"/>
    <col min="2309" max="2554" width="9" style="198"/>
    <col min="2555" max="2555" width="4.5703125" style="198" customWidth="1"/>
    <col min="2556" max="2556" width="29.85546875" style="198" customWidth="1"/>
    <col min="2557" max="2557" width="14.42578125" style="198" customWidth="1"/>
    <col min="2558" max="2558" width="14.28515625" style="198" customWidth="1"/>
    <col min="2559" max="2559" width="14.7109375" style="198" customWidth="1"/>
    <col min="2560" max="2560" width="10.85546875" style="198" customWidth="1"/>
    <col min="2561" max="2561" width="11.42578125" style="198" customWidth="1"/>
    <col min="2562" max="2562" width="21.28515625" style="198" customWidth="1"/>
    <col min="2563" max="2563" width="9" style="198"/>
    <col min="2564" max="2564" width="12.42578125" style="198" bestFit="1" customWidth="1"/>
    <col min="2565" max="2810" width="9" style="198"/>
    <col min="2811" max="2811" width="4.5703125" style="198" customWidth="1"/>
    <col min="2812" max="2812" width="29.85546875" style="198" customWidth="1"/>
    <col min="2813" max="2813" width="14.42578125" style="198" customWidth="1"/>
    <col min="2814" max="2814" width="14.28515625" style="198" customWidth="1"/>
    <col min="2815" max="2815" width="14.7109375" style="198" customWidth="1"/>
    <col min="2816" max="2816" width="10.85546875" style="198" customWidth="1"/>
    <col min="2817" max="2817" width="11.42578125" style="198" customWidth="1"/>
    <col min="2818" max="2818" width="21.28515625" style="198" customWidth="1"/>
    <col min="2819" max="2819" width="9" style="198"/>
    <col min="2820" max="2820" width="12.42578125" style="198" bestFit="1" customWidth="1"/>
    <col min="2821" max="3066" width="9" style="198"/>
    <col min="3067" max="3067" width="4.5703125" style="198" customWidth="1"/>
    <col min="3068" max="3068" width="29.85546875" style="198" customWidth="1"/>
    <col min="3069" max="3069" width="14.42578125" style="198" customWidth="1"/>
    <col min="3070" max="3070" width="14.28515625" style="198" customWidth="1"/>
    <col min="3071" max="3071" width="14.7109375" style="198" customWidth="1"/>
    <col min="3072" max="3072" width="10.85546875" style="198" customWidth="1"/>
    <col min="3073" max="3073" width="11.42578125" style="198" customWidth="1"/>
    <col min="3074" max="3074" width="21.28515625" style="198" customWidth="1"/>
    <col min="3075" max="3075" width="9" style="198"/>
    <col min="3076" max="3076" width="12.42578125" style="198" bestFit="1" customWidth="1"/>
    <col min="3077" max="3322" width="9" style="198"/>
    <col min="3323" max="3323" width="4.5703125" style="198" customWidth="1"/>
    <col min="3324" max="3324" width="29.85546875" style="198" customWidth="1"/>
    <col min="3325" max="3325" width="14.42578125" style="198" customWidth="1"/>
    <col min="3326" max="3326" width="14.28515625" style="198" customWidth="1"/>
    <col min="3327" max="3327" width="14.7109375" style="198" customWidth="1"/>
    <col min="3328" max="3328" width="10.85546875" style="198" customWidth="1"/>
    <col min="3329" max="3329" width="11.42578125" style="198" customWidth="1"/>
    <col min="3330" max="3330" width="21.28515625" style="198" customWidth="1"/>
    <col min="3331" max="3331" width="9" style="198"/>
    <col min="3332" max="3332" width="12.42578125" style="198" bestFit="1" customWidth="1"/>
    <col min="3333" max="3578" width="9" style="198"/>
    <col min="3579" max="3579" width="4.5703125" style="198" customWidth="1"/>
    <col min="3580" max="3580" width="29.85546875" style="198" customWidth="1"/>
    <col min="3581" max="3581" width="14.42578125" style="198" customWidth="1"/>
    <col min="3582" max="3582" width="14.28515625" style="198" customWidth="1"/>
    <col min="3583" max="3583" width="14.7109375" style="198" customWidth="1"/>
    <col min="3584" max="3584" width="10.85546875" style="198" customWidth="1"/>
    <col min="3585" max="3585" width="11.42578125" style="198" customWidth="1"/>
    <col min="3586" max="3586" width="21.28515625" style="198" customWidth="1"/>
    <col min="3587" max="3587" width="9" style="198"/>
    <col min="3588" max="3588" width="12.42578125" style="198" bestFit="1" customWidth="1"/>
    <col min="3589" max="3834" width="9" style="198"/>
    <col min="3835" max="3835" width="4.5703125" style="198" customWidth="1"/>
    <col min="3836" max="3836" width="29.85546875" style="198" customWidth="1"/>
    <col min="3837" max="3837" width="14.42578125" style="198" customWidth="1"/>
    <col min="3838" max="3838" width="14.28515625" style="198" customWidth="1"/>
    <col min="3839" max="3839" width="14.7109375" style="198" customWidth="1"/>
    <col min="3840" max="3840" width="10.85546875" style="198" customWidth="1"/>
    <col min="3841" max="3841" width="11.42578125" style="198" customWidth="1"/>
    <col min="3842" max="3842" width="21.28515625" style="198" customWidth="1"/>
    <col min="3843" max="3843" width="9" style="198"/>
    <col min="3844" max="3844" width="12.42578125" style="198" bestFit="1" customWidth="1"/>
    <col min="3845" max="4090" width="9" style="198"/>
    <col min="4091" max="4091" width="4.5703125" style="198" customWidth="1"/>
    <col min="4092" max="4092" width="29.85546875" style="198" customWidth="1"/>
    <col min="4093" max="4093" width="14.42578125" style="198" customWidth="1"/>
    <col min="4094" max="4094" width="14.28515625" style="198" customWidth="1"/>
    <col min="4095" max="4095" width="14.7109375" style="198" customWidth="1"/>
    <col min="4096" max="4096" width="10.85546875" style="198" customWidth="1"/>
    <col min="4097" max="4097" width="11.42578125" style="198" customWidth="1"/>
    <col min="4098" max="4098" width="21.28515625" style="198" customWidth="1"/>
    <col min="4099" max="4099" width="9" style="198"/>
    <col min="4100" max="4100" width="12.42578125" style="198" bestFit="1" customWidth="1"/>
    <col min="4101" max="4346" width="9" style="198"/>
    <col min="4347" max="4347" width="4.5703125" style="198" customWidth="1"/>
    <col min="4348" max="4348" width="29.85546875" style="198" customWidth="1"/>
    <col min="4349" max="4349" width="14.42578125" style="198" customWidth="1"/>
    <col min="4350" max="4350" width="14.28515625" style="198" customWidth="1"/>
    <col min="4351" max="4351" width="14.7109375" style="198" customWidth="1"/>
    <col min="4352" max="4352" width="10.85546875" style="198" customWidth="1"/>
    <col min="4353" max="4353" width="11.42578125" style="198" customWidth="1"/>
    <col min="4354" max="4354" width="21.28515625" style="198" customWidth="1"/>
    <col min="4355" max="4355" width="9" style="198"/>
    <col min="4356" max="4356" width="12.42578125" style="198" bestFit="1" customWidth="1"/>
    <col min="4357" max="4602" width="9" style="198"/>
    <col min="4603" max="4603" width="4.5703125" style="198" customWidth="1"/>
    <col min="4604" max="4604" width="29.85546875" style="198" customWidth="1"/>
    <col min="4605" max="4605" width="14.42578125" style="198" customWidth="1"/>
    <col min="4606" max="4606" width="14.28515625" style="198" customWidth="1"/>
    <col min="4607" max="4607" width="14.7109375" style="198" customWidth="1"/>
    <col min="4608" max="4608" width="10.85546875" style="198" customWidth="1"/>
    <col min="4609" max="4609" width="11.42578125" style="198" customWidth="1"/>
    <col min="4610" max="4610" width="21.28515625" style="198" customWidth="1"/>
    <col min="4611" max="4611" width="9" style="198"/>
    <col min="4612" max="4612" width="12.42578125" style="198" bestFit="1" customWidth="1"/>
    <col min="4613" max="4858" width="9" style="198"/>
    <col min="4859" max="4859" width="4.5703125" style="198" customWidth="1"/>
    <col min="4860" max="4860" width="29.85546875" style="198" customWidth="1"/>
    <col min="4861" max="4861" width="14.42578125" style="198" customWidth="1"/>
    <col min="4862" max="4862" width="14.28515625" style="198" customWidth="1"/>
    <col min="4863" max="4863" width="14.7109375" style="198" customWidth="1"/>
    <col min="4864" max="4864" width="10.85546875" style="198" customWidth="1"/>
    <col min="4865" max="4865" width="11.42578125" style="198" customWidth="1"/>
    <col min="4866" max="4866" width="21.28515625" style="198" customWidth="1"/>
    <col min="4867" max="4867" width="9" style="198"/>
    <col min="4868" max="4868" width="12.42578125" style="198" bestFit="1" customWidth="1"/>
    <col min="4869" max="5114" width="9" style="198"/>
    <col min="5115" max="5115" width="4.5703125" style="198" customWidth="1"/>
    <col min="5116" max="5116" width="29.85546875" style="198" customWidth="1"/>
    <col min="5117" max="5117" width="14.42578125" style="198" customWidth="1"/>
    <col min="5118" max="5118" width="14.28515625" style="198" customWidth="1"/>
    <col min="5119" max="5119" width="14.7109375" style="198" customWidth="1"/>
    <col min="5120" max="5120" width="10.85546875" style="198" customWidth="1"/>
    <col min="5121" max="5121" width="11.42578125" style="198" customWidth="1"/>
    <col min="5122" max="5122" width="21.28515625" style="198" customWidth="1"/>
    <col min="5123" max="5123" width="9" style="198"/>
    <col min="5124" max="5124" width="12.42578125" style="198" bestFit="1" customWidth="1"/>
    <col min="5125" max="5370" width="9" style="198"/>
    <col min="5371" max="5371" width="4.5703125" style="198" customWidth="1"/>
    <col min="5372" max="5372" width="29.85546875" style="198" customWidth="1"/>
    <col min="5373" max="5373" width="14.42578125" style="198" customWidth="1"/>
    <col min="5374" max="5374" width="14.28515625" style="198" customWidth="1"/>
    <col min="5375" max="5375" width="14.7109375" style="198" customWidth="1"/>
    <col min="5376" max="5376" width="10.85546875" style="198" customWidth="1"/>
    <col min="5377" max="5377" width="11.42578125" style="198" customWidth="1"/>
    <col min="5378" max="5378" width="21.28515625" style="198" customWidth="1"/>
    <col min="5379" max="5379" width="9" style="198"/>
    <col min="5380" max="5380" width="12.42578125" style="198" bestFit="1" customWidth="1"/>
    <col min="5381" max="5626" width="9" style="198"/>
    <col min="5627" max="5627" width="4.5703125" style="198" customWidth="1"/>
    <col min="5628" max="5628" width="29.85546875" style="198" customWidth="1"/>
    <col min="5629" max="5629" width="14.42578125" style="198" customWidth="1"/>
    <col min="5630" max="5630" width="14.28515625" style="198" customWidth="1"/>
    <col min="5631" max="5631" width="14.7109375" style="198" customWidth="1"/>
    <col min="5632" max="5632" width="10.85546875" style="198" customWidth="1"/>
    <col min="5633" max="5633" width="11.42578125" style="198" customWidth="1"/>
    <col min="5634" max="5634" width="21.28515625" style="198" customWidth="1"/>
    <col min="5635" max="5635" width="9" style="198"/>
    <col min="5636" max="5636" width="12.42578125" style="198" bestFit="1" customWidth="1"/>
    <col min="5637" max="5882" width="9" style="198"/>
    <col min="5883" max="5883" width="4.5703125" style="198" customWidth="1"/>
    <col min="5884" max="5884" width="29.85546875" style="198" customWidth="1"/>
    <col min="5885" max="5885" width="14.42578125" style="198" customWidth="1"/>
    <col min="5886" max="5886" width="14.28515625" style="198" customWidth="1"/>
    <col min="5887" max="5887" width="14.7109375" style="198" customWidth="1"/>
    <col min="5888" max="5888" width="10.85546875" style="198" customWidth="1"/>
    <col min="5889" max="5889" width="11.42578125" style="198" customWidth="1"/>
    <col min="5890" max="5890" width="21.28515625" style="198" customWidth="1"/>
    <col min="5891" max="5891" width="9" style="198"/>
    <col min="5892" max="5892" width="12.42578125" style="198" bestFit="1" customWidth="1"/>
    <col min="5893" max="6138" width="9" style="198"/>
    <col min="6139" max="6139" width="4.5703125" style="198" customWidth="1"/>
    <col min="6140" max="6140" width="29.85546875" style="198" customWidth="1"/>
    <col min="6141" max="6141" width="14.42578125" style="198" customWidth="1"/>
    <col min="6142" max="6142" width="14.28515625" style="198" customWidth="1"/>
    <col min="6143" max="6143" width="14.7109375" style="198" customWidth="1"/>
    <col min="6144" max="6144" width="10.85546875" style="198" customWidth="1"/>
    <col min="6145" max="6145" width="11.42578125" style="198" customWidth="1"/>
    <col min="6146" max="6146" width="21.28515625" style="198" customWidth="1"/>
    <col min="6147" max="6147" width="9" style="198"/>
    <col min="6148" max="6148" width="12.42578125" style="198" bestFit="1" customWidth="1"/>
    <col min="6149" max="6394" width="9" style="198"/>
    <col min="6395" max="6395" width="4.5703125" style="198" customWidth="1"/>
    <col min="6396" max="6396" width="29.85546875" style="198" customWidth="1"/>
    <col min="6397" max="6397" width="14.42578125" style="198" customWidth="1"/>
    <col min="6398" max="6398" width="14.28515625" style="198" customWidth="1"/>
    <col min="6399" max="6399" width="14.7109375" style="198" customWidth="1"/>
    <col min="6400" max="6400" width="10.85546875" style="198" customWidth="1"/>
    <col min="6401" max="6401" width="11.42578125" style="198" customWidth="1"/>
    <col min="6402" max="6402" width="21.28515625" style="198" customWidth="1"/>
    <col min="6403" max="6403" width="9" style="198"/>
    <col min="6404" max="6404" width="12.42578125" style="198" bestFit="1" customWidth="1"/>
    <col min="6405" max="6650" width="9" style="198"/>
    <col min="6651" max="6651" width="4.5703125" style="198" customWidth="1"/>
    <col min="6652" max="6652" width="29.85546875" style="198" customWidth="1"/>
    <col min="6653" max="6653" width="14.42578125" style="198" customWidth="1"/>
    <col min="6654" max="6654" width="14.28515625" style="198" customWidth="1"/>
    <col min="6655" max="6655" width="14.7109375" style="198" customWidth="1"/>
    <col min="6656" max="6656" width="10.85546875" style="198" customWidth="1"/>
    <col min="6657" max="6657" width="11.42578125" style="198" customWidth="1"/>
    <col min="6658" max="6658" width="21.28515625" style="198" customWidth="1"/>
    <col min="6659" max="6659" width="9" style="198"/>
    <col min="6660" max="6660" width="12.42578125" style="198" bestFit="1" customWidth="1"/>
    <col min="6661" max="6906" width="9" style="198"/>
    <col min="6907" max="6907" width="4.5703125" style="198" customWidth="1"/>
    <col min="6908" max="6908" width="29.85546875" style="198" customWidth="1"/>
    <col min="6909" max="6909" width="14.42578125" style="198" customWidth="1"/>
    <col min="6910" max="6910" width="14.28515625" style="198" customWidth="1"/>
    <col min="6911" max="6911" width="14.7109375" style="198" customWidth="1"/>
    <col min="6912" max="6912" width="10.85546875" style="198" customWidth="1"/>
    <col min="6913" max="6913" width="11.42578125" style="198" customWidth="1"/>
    <col min="6914" max="6914" width="21.28515625" style="198" customWidth="1"/>
    <col min="6915" max="6915" width="9" style="198"/>
    <col min="6916" max="6916" width="12.42578125" style="198" bestFit="1" customWidth="1"/>
    <col min="6917" max="7162" width="9" style="198"/>
    <col min="7163" max="7163" width="4.5703125" style="198" customWidth="1"/>
    <col min="7164" max="7164" width="29.85546875" style="198" customWidth="1"/>
    <col min="7165" max="7165" width="14.42578125" style="198" customWidth="1"/>
    <col min="7166" max="7166" width="14.28515625" style="198" customWidth="1"/>
    <col min="7167" max="7167" width="14.7109375" style="198" customWidth="1"/>
    <col min="7168" max="7168" width="10.85546875" style="198" customWidth="1"/>
    <col min="7169" max="7169" width="11.42578125" style="198" customWidth="1"/>
    <col min="7170" max="7170" width="21.28515625" style="198" customWidth="1"/>
    <col min="7171" max="7171" width="9" style="198"/>
    <col min="7172" max="7172" width="12.42578125" style="198" bestFit="1" customWidth="1"/>
    <col min="7173" max="7418" width="9" style="198"/>
    <col min="7419" max="7419" width="4.5703125" style="198" customWidth="1"/>
    <col min="7420" max="7420" width="29.85546875" style="198" customWidth="1"/>
    <col min="7421" max="7421" width="14.42578125" style="198" customWidth="1"/>
    <col min="7422" max="7422" width="14.28515625" style="198" customWidth="1"/>
    <col min="7423" max="7423" width="14.7109375" style="198" customWidth="1"/>
    <col min="7424" max="7424" width="10.85546875" style="198" customWidth="1"/>
    <col min="7425" max="7425" width="11.42578125" style="198" customWidth="1"/>
    <col min="7426" max="7426" width="21.28515625" style="198" customWidth="1"/>
    <col min="7427" max="7427" width="9" style="198"/>
    <col min="7428" max="7428" width="12.42578125" style="198" bestFit="1" customWidth="1"/>
    <col min="7429" max="7674" width="9" style="198"/>
    <col min="7675" max="7675" width="4.5703125" style="198" customWidth="1"/>
    <col min="7676" max="7676" width="29.85546875" style="198" customWidth="1"/>
    <col min="7677" max="7677" width="14.42578125" style="198" customWidth="1"/>
    <col min="7678" max="7678" width="14.28515625" style="198" customWidth="1"/>
    <col min="7679" max="7679" width="14.7109375" style="198" customWidth="1"/>
    <col min="7680" max="7680" width="10.85546875" style="198" customWidth="1"/>
    <col min="7681" max="7681" width="11.42578125" style="198" customWidth="1"/>
    <col min="7682" max="7682" width="21.28515625" style="198" customWidth="1"/>
    <col min="7683" max="7683" width="9" style="198"/>
    <col min="7684" max="7684" width="12.42578125" style="198" bestFit="1" customWidth="1"/>
    <col min="7685" max="7930" width="9" style="198"/>
    <col min="7931" max="7931" width="4.5703125" style="198" customWidth="1"/>
    <col min="7932" max="7932" width="29.85546875" style="198" customWidth="1"/>
    <col min="7933" max="7933" width="14.42578125" style="198" customWidth="1"/>
    <col min="7934" max="7934" width="14.28515625" style="198" customWidth="1"/>
    <col min="7935" max="7935" width="14.7109375" style="198" customWidth="1"/>
    <col min="7936" max="7936" width="10.85546875" style="198" customWidth="1"/>
    <col min="7937" max="7937" width="11.42578125" style="198" customWidth="1"/>
    <col min="7938" max="7938" width="21.28515625" style="198" customWidth="1"/>
    <col min="7939" max="7939" width="9" style="198"/>
    <col min="7940" max="7940" width="12.42578125" style="198" bestFit="1" customWidth="1"/>
    <col min="7941" max="8186" width="9" style="198"/>
    <col min="8187" max="8187" width="4.5703125" style="198" customWidth="1"/>
    <col min="8188" max="8188" width="29.85546875" style="198" customWidth="1"/>
    <col min="8189" max="8189" width="14.42578125" style="198" customWidth="1"/>
    <col min="8190" max="8190" width="14.28515625" style="198" customWidth="1"/>
    <col min="8191" max="8191" width="14.7109375" style="198" customWidth="1"/>
    <col min="8192" max="8192" width="10.85546875" style="198" customWidth="1"/>
    <col min="8193" max="8193" width="11.42578125" style="198" customWidth="1"/>
    <col min="8194" max="8194" width="21.28515625" style="198" customWidth="1"/>
    <col min="8195" max="8195" width="9" style="198"/>
    <col min="8196" max="8196" width="12.42578125" style="198" bestFit="1" customWidth="1"/>
    <col min="8197" max="8442" width="9" style="198"/>
    <col min="8443" max="8443" width="4.5703125" style="198" customWidth="1"/>
    <col min="8444" max="8444" width="29.85546875" style="198" customWidth="1"/>
    <col min="8445" max="8445" width="14.42578125" style="198" customWidth="1"/>
    <col min="8446" max="8446" width="14.28515625" style="198" customWidth="1"/>
    <col min="8447" max="8447" width="14.7109375" style="198" customWidth="1"/>
    <col min="8448" max="8448" width="10.85546875" style="198" customWidth="1"/>
    <col min="8449" max="8449" width="11.42578125" style="198" customWidth="1"/>
    <col min="8450" max="8450" width="21.28515625" style="198" customWidth="1"/>
    <col min="8451" max="8451" width="9" style="198"/>
    <col min="8452" max="8452" width="12.42578125" style="198" bestFit="1" customWidth="1"/>
    <col min="8453" max="8698" width="9" style="198"/>
    <col min="8699" max="8699" width="4.5703125" style="198" customWidth="1"/>
    <col min="8700" max="8700" width="29.85546875" style="198" customWidth="1"/>
    <col min="8701" max="8701" width="14.42578125" style="198" customWidth="1"/>
    <col min="8702" max="8702" width="14.28515625" style="198" customWidth="1"/>
    <col min="8703" max="8703" width="14.7109375" style="198" customWidth="1"/>
    <col min="8704" max="8704" width="10.85546875" style="198" customWidth="1"/>
    <col min="8705" max="8705" width="11.42578125" style="198" customWidth="1"/>
    <col min="8706" max="8706" width="21.28515625" style="198" customWidth="1"/>
    <col min="8707" max="8707" width="9" style="198"/>
    <col min="8708" max="8708" width="12.42578125" style="198" bestFit="1" customWidth="1"/>
    <col min="8709" max="8954" width="9" style="198"/>
    <col min="8955" max="8955" width="4.5703125" style="198" customWidth="1"/>
    <col min="8956" max="8956" width="29.85546875" style="198" customWidth="1"/>
    <col min="8957" max="8957" width="14.42578125" style="198" customWidth="1"/>
    <col min="8958" max="8958" width="14.28515625" style="198" customWidth="1"/>
    <col min="8959" max="8959" width="14.7109375" style="198" customWidth="1"/>
    <col min="8960" max="8960" width="10.85546875" style="198" customWidth="1"/>
    <col min="8961" max="8961" width="11.42578125" style="198" customWidth="1"/>
    <col min="8962" max="8962" width="21.28515625" style="198" customWidth="1"/>
    <col min="8963" max="8963" width="9" style="198"/>
    <col min="8964" max="8964" width="12.42578125" style="198" bestFit="1" customWidth="1"/>
    <col min="8965" max="9210" width="9" style="198"/>
    <col min="9211" max="9211" width="4.5703125" style="198" customWidth="1"/>
    <col min="9212" max="9212" width="29.85546875" style="198" customWidth="1"/>
    <col min="9213" max="9213" width="14.42578125" style="198" customWidth="1"/>
    <col min="9214" max="9214" width="14.28515625" style="198" customWidth="1"/>
    <col min="9215" max="9215" width="14.7109375" style="198" customWidth="1"/>
    <col min="9216" max="9216" width="10.85546875" style="198" customWidth="1"/>
    <col min="9217" max="9217" width="11.42578125" style="198" customWidth="1"/>
    <col min="9218" max="9218" width="21.28515625" style="198" customWidth="1"/>
    <col min="9219" max="9219" width="9" style="198"/>
    <col min="9220" max="9220" width="12.42578125" style="198" bestFit="1" customWidth="1"/>
    <col min="9221" max="9466" width="9" style="198"/>
    <col min="9467" max="9467" width="4.5703125" style="198" customWidth="1"/>
    <col min="9468" max="9468" width="29.85546875" style="198" customWidth="1"/>
    <col min="9469" max="9469" width="14.42578125" style="198" customWidth="1"/>
    <col min="9470" max="9470" width="14.28515625" style="198" customWidth="1"/>
    <col min="9471" max="9471" width="14.7109375" style="198" customWidth="1"/>
    <col min="9472" max="9472" width="10.85546875" style="198" customWidth="1"/>
    <col min="9473" max="9473" width="11.42578125" style="198" customWidth="1"/>
    <col min="9474" max="9474" width="21.28515625" style="198" customWidth="1"/>
    <col min="9475" max="9475" width="9" style="198"/>
    <col min="9476" max="9476" width="12.42578125" style="198" bestFit="1" customWidth="1"/>
    <col min="9477" max="9722" width="9" style="198"/>
    <col min="9723" max="9723" width="4.5703125" style="198" customWidth="1"/>
    <col min="9724" max="9724" width="29.85546875" style="198" customWidth="1"/>
    <col min="9725" max="9725" width="14.42578125" style="198" customWidth="1"/>
    <col min="9726" max="9726" width="14.28515625" style="198" customWidth="1"/>
    <col min="9727" max="9727" width="14.7109375" style="198" customWidth="1"/>
    <col min="9728" max="9728" width="10.85546875" style="198" customWidth="1"/>
    <col min="9729" max="9729" width="11.42578125" style="198" customWidth="1"/>
    <col min="9730" max="9730" width="21.28515625" style="198" customWidth="1"/>
    <col min="9731" max="9731" width="9" style="198"/>
    <col min="9732" max="9732" width="12.42578125" style="198" bestFit="1" customWidth="1"/>
    <col min="9733" max="9978" width="9" style="198"/>
    <col min="9979" max="9979" width="4.5703125" style="198" customWidth="1"/>
    <col min="9980" max="9980" width="29.85546875" style="198" customWidth="1"/>
    <col min="9981" max="9981" width="14.42578125" style="198" customWidth="1"/>
    <col min="9982" max="9982" width="14.28515625" style="198" customWidth="1"/>
    <col min="9983" max="9983" width="14.7109375" style="198" customWidth="1"/>
    <col min="9984" max="9984" width="10.85546875" style="198" customWidth="1"/>
    <col min="9985" max="9985" width="11.42578125" style="198" customWidth="1"/>
    <col min="9986" max="9986" width="21.28515625" style="198" customWidth="1"/>
    <col min="9987" max="9987" width="9" style="198"/>
    <col min="9988" max="9988" width="12.42578125" style="198" bestFit="1" customWidth="1"/>
    <col min="9989" max="10234" width="9" style="198"/>
    <col min="10235" max="10235" width="4.5703125" style="198" customWidth="1"/>
    <col min="10236" max="10236" width="29.85546875" style="198" customWidth="1"/>
    <col min="10237" max="10237" width="14.42578125" style="198" customWidth="1"/>
    <col min="10238" max="10238" width="14.28515625" style="198" customWidth="1"/>
    <col min="10239" max="10239" width="14.7109375" style="198" customWidth="1"/>
    <col min="10240" max="10240" width="10.85546875" style="198" customWidth="1"/>
    <col min="10241" max="10241" width="11.42578125" style="198" customWidth="1"/>
    <col min="10242" max="10242" width="21.28515625" style="198" customWidth="1"/>
    <col min="10243" max="10243" width="9" style="198"/>
    <col min="10244" max="10244" width="12.42578125" style="198" bestFit="1" customWidth="1"/>
    <col min="10245" max="10490" width="9" style="198"/>
    <col min="10491" max="10491" width="4.5703125" style="198" customWidth="1"/>
    <col min="10492" max="10492" width="29.85546875" style="198" customWidth="1"/>
    <col min="10493" max="10493" width="14.42578125" style="198" customWidth="1"/>
    <col min="10494" max="10494" width="14.28515625" style="198" customWidth="1"/>
    <col min="10495" max="10495" width="14.7109375" style="198" customWidth="1"/>
    <col min="10496" max="10496" width="10.85546875" style="198" customWidth="1"/>
    <col min="10497" max="10497" width="11.42578125" style="198" customWidth="1"/>
    <col min="10498" max="10498" width="21.28515625" style="198" customWidth="1"/>
    <col min="10499" max="10499" width="9" style="198"/>
    <col min="10500" max="10500" width="12.42578125" style="198" bestFit="1" customWidth="1"/>
    <col min="10501" max="10746" width="9" style="198"/>
    <col min="10747" max="10747" width="4.5703125" style="198" customWidth="1"/>
    <col min="10748" max="10748" width="29.85546875" style="198" customWidth="1"/>
    <col min="10749" max="10749" width="14.42578125" style="198" customWidth="1"/>
    <col min="10750" max="10750" width="14.28515625" style="198" customWidth="1"/>
    <col min="10751" max="10751" width="14.7109375" style="198" customWidth="1"/>
    <col min="10752" max="10752" width="10.85546875" style="198" customWidth="1"/>
    <col min="10753" max="10753" width="11.42578125" style="198" customWidth="1"/>
    <col min="10754" max="10754" width="21.28515625" style="198" customWidth="1"/>
    <col min="10755" max="10755" width="9" style="198"/>
    <col min="10756" max="10756" width="12.42578125" style="198" bestFit="1" customWidth="1"/>
    <col min="10757" max="11002" width="9" style="198"/>
    <col min="11003" max="11003" width="4.5703125" style="198" customWidth="1"/>
    <col min="11004" max="11004" width="29.85546875" style="198" customWidth="1"/>
    <col min="11005" max="11005" width="14.42578125" style="198" customWidth="1"/>
    <col min="11006" max="11006" width="14.28515625" style="198" customWidth="1"/>
    <col min="11007" max="11007" width="14.7109375" style="198" customWidth="1"/>
    <col min="11008" max="11008" width="10.85546875" style="198" customWidth="1"/>
    <col min="11009" max="11009" width="11.42578125" style="198" customWidth="1"/>
    <col min="11010" max="11010" width="21.28515625" style="198" customWidth="1"/>
    <col min="11011" max="11011" width="9" style="198"/>
    <col min="11012" max="11012" width="12.42578125" style="198" bestFit="1" customWidth="1"/>
    <col min="11013" max="11258" width="9" style="198"/>
    <col min="11259" max="11259" width="4.5703125" style="198" customWidth="1"/>
    <col min="11260" max="11260" width="29.85546875" style="198" customWidth="1"/>
    <col min="11261" max="11261" width="14.42578125" style="198" customWidth="1"/>
    <col min="11262" max="11262" width="14.28515625" style="198" customWidth="1"/>
    <col min="11263" max="11263" width="14.7109375" style="198" customWidth="1"/>
    <col min="11264" max="11264" width="10.85546875" style="198" customWidth="1"/>
    <col min="11265" max="11265" width="11.42578125" style="198" customWidth="1"/>
    <col min="11266" max="11266" width="21.28515625" style="198" customWidth="1"/>
    <col min="11267" max="11267" width="9" style="198"/>
    <col min="11268" max="11268" width="12.42578125" style="198" bestFit="1" customWidth="1"/>
    <col min="11269" max="11514" width="9" style="198"/>
    <col min="11515" max="11515" width="4.5703125" style="198" customWidth="1"/>
    <col min="11516" max="11516" width="29.85546875" style="198" customWidth="1"/>
    <col min="11517" max="11517" width="14.42578125" style="198" customWidth="1"/>
    <col min="11518" max="11518" width="14.28515625" style="198" customWidth="1"/>
    <col min="11519" max="11519" width="14.7109375" style="198" customWidth="1"/>
    <col min="11520" max="11520" width="10.85546875" style="198" customWidth="1"/>
    <col min="11521" max="11521" width="11.42578125" style="198" customWidth="1"/>
    <col min="11522" max="11522" width="21.28515625" style="198" customWidth="1"/>
    <col min="11523" max="11523" width="9" style="198"/>
    <col min="11524" max="11524" width="12.42578125" style="198" bestFit="1" customWidth="1"/>
    <col min="11525" max="11770" width="9" style="198"/>
    <col min="11771" max="11771" width="4.5703125" style="198" customWidth="1"/>
    <col min="11772" max="11772" width="29.85546875" style="198" customWidth="1"/>
    <col min="11773" max="11773" width="14.42578125" style="198" customWidth="1"/>
    <col min="11774" max="11774" width="14.28515625" style="198" customWidth="1"/>
    <col min="11775" max="11775" width="14.7109375" style="198" customWidth="1"/>
    <col min="11776" max="11776" width="10.85546875" style="198" customWidth="1"/>
    <col min="11777" max="11777" width="11.42578125" style="198" customWidth="1"/>
    <col min="11778" max="11778" width="21.28515625" style="198" customWidth="1"/>
    <col min="11779" max="11779" width="9" style="198"/>
    <col min="11780" max="11780" width="12.42578125" style="198" bestFit="1" customWidth="1"/>
    <col min="11781" max="12026" width="9" style="198"/>
    <col min="12027" max="12027" width="4.5703125" style="198" customWidth="1"/>
    <col min="12028" max="12028" width="29.85546875" style="198" customWidth="1"/>
    <col min="12029" max="12029" width="14.42578125" style="198" customWidth="1"/>
    <col min="12030" max="12030" width="14.28515625" style="198" customWidth="1"/>
    <col min="12031" max="12031" width="14.7109375" style="198" customWidth="1"/>
    <col min="12032" max="12032" width="10.85546875" style="198" customWidth="1"/>
    <col min="12033" max="12033" width="11.42578125" style="198" customWidth="1"/>
    <col min="12034" max="12034" width="21.28515625" style="198" customWidth="1"/>
    <col min="12035" max="12035" width="9" style="198"/>
    <col min="12036" max="12036" width="12.42578125" style="198" bestFit="1" customWidth="1"/>
    <col min="12037" max="12282" width="9" style="198"/>
    <col min="12283" max="12283" width="4.5703125" style="198" customWidth="1"/>
    <col min="12284" max="12284" width="29.85546875" style="198" customWidth="1"/>
    <col min="12285" max="12285" width="14.42578125" style="198" customWidth="1"/>
    <col min="12286" max="12286" width="14.28515625" style="198" customWidth="1"/>
    <col min="12287" max="12287" width="14.7109375" style="198" customWidth="1"/>
    <col min="12288" max="12288" width="10.85546875" style="198" customWidth="1"/>
    <col min="12289" max="12289" width="11.42578125" style="198" customWidth="1"/>
    <col min="12290" max="12290" width="21.28515625" style="198" customWidth="1"/>
    <col min="12291" max="12291" width="9" style="198"/>
    <col min="12292" max="12292" width="12.42578125" style="198" bestFit="1" customWidth="1"/>
    <col min="12293" max="12538" width="9" style="198"/>
    <col min="12539" max="12539" width="4.5703125" style="198" customWidth="1"/>
    <col min="12540" max="12540" width="29.85546875" style="198" customWidth="1"/>
    <col min="12541" max="12541" width="14.42578125" style="198" customWidth="1"/>
    <col min="12542" max="12542" width="14.28515625" style="198" customWidth="1"/>
    <col min="12543" max="12543" width="14.7109375" style="198" customWidth="1"/>
    <col min="12544" max="12544" width="10.85546875" style="198" customWidth="1"/>
    <col min="12545" max="12545" width="11.42578125" style="198" customWidth="1"/>
    <col min="12546" max="12546" width="21.28515625" style="198" customWidth="1"/>
    <col min="12547" max="12547" width="9" style="198"/>
    <col min="12548" max="12548" width="12.42578125" style="198" bestFit="1" customWidth="1"/>
    <col min="12549" max="12794" width="9" style="198"/>
    <col min="12795" max="12795" width="4.5703125" style="198" customWidth="1"/>
    <col min="12796" max="12796" width="29.85546875" style="198" customWidth="1"/>
    <col min="12797" max="12797" width="14.42578125" style="198" customWidth="1"/>
    <col min="12798" max="12798" width="14.28515625" style="198" customWidth="1"/>
    <col min="12799" max="12799" width="14.7109375" style="198" customWidth="1"/>
    <col min="12800" max="12800" width="10.85546875" style="198" customWidth="1"/>
    <col min="12801" max="12801" width="11.42578125" style="198" customWidth="1"/>
    <col min="12802" max="12802" width="21.28515625" style="198" customWidth="1"/>
    <col min="12803" max="12803" width="9" style="198"/>
    <col min="12804" max="12804" width="12.42578125" style="198" bestFit="1" customWidth="1"/>
    <col min="12805" max="13050" width="9" style="198"/>
    <col min="13051" max="13051" width="4.5703125" style="198" customWidth="1"/>
    <col min="13052" max="13052" width="29.85546875" style="198" customWidth="1"/>
    <col min="13053" max="13053" width="14.42578125" style="198" customWidth="1"/>
    <col min="13054" max="13054" width="14.28515625" style="198" customWidth="1"/>
    <col min="13055" max="13055" width="14.7109375" style="198" customWidth="1"/>
    <col min="13056" max="13056" width="10.85546875" style="198" customWidth="1"/>
    <col min="13057" max="13057" width="11.42578125" style="198" customWidth="1"/>
    <col min="13058" max="13058" width="21.28515625" style="198" customWidth="1"/>
    <col min="13059" max="13059" width="9" style="198"/>
    <col min="13060" max="13060" width="12.42578125" style="198" bestFit="1" customWidth="1"/>
    <col min="13061" max="13306" width="9" style="198"/>
    <col min="13307" max="13307" width="4.5703125" style="198" customWidth="1"/>
    <col min="13308" max="13308" width="29.85546875" style="198" customWidth="1"/>
    <col min="13309" max="13309" width="14.42578125" style="198" customWidth="1"/>
    <col min="13310" max="13310" width="14.28515625" style="198" customWidth="1"/>
    <col min="13311" max="13311" width="14.7109375" style="198" customWidth="1"/>
    <col min="13312" max="13312" width="10.85546875" style="198" customWidth="1"/>
    <col min="13313" max="13313" width="11.42578125" style="198" customWidth="1"/>
    <col min="13314" max="13314" width="21.28515625" style="198" customWidth="1"/>
    <col min="13315" max="13315" width="9" style="198"/>
    <col min="13316" max="13316" width="12.42578125" style="198" bestFit="1" customWidth="1"/>
    <col min="13317" max="13562" width="9" style="198"/>
    <col min="13563" max="13563" width="4.5703125" style="198" customWidth="1"/>
    <col min="13564" max="13564" width="29.85546875" style="198" customWidth="1"/>
    <col min="13565" max="13565" width="14.42578125" style="198" customWidth="1"/>
    <col min="13566" max="13566" width="14.28515625" style="198" customWidth="1"/>
    <col min="13567" max="13567" width="14.7109375" style="198" customWidth="1"/>
    <col min="13568" max="13568" width="10.85546875" style="198" customWidth="1"/>
    <col min="13569" max="13569" width="11.42578125" style="198" customWidth="1"/>
    <col min="13570" max="13570" width="21.28515625" style="198" customWidth="1"/>
    <col min="13571" max="13571" width="9" style="198"/>
    <col min="13572" max="13572" width="12.42578125" style="198" bestFit="1" customWidth="1"/>
    <col min="13573" max="13818" width="9" style="198"/>
    <col min="13819" max="13819" width="4.5703125" style="198" customWidth="1"/>
    <col min="13820" max="13820" width="29.85546875" style="198" customWidth="1"/>
    <col min="13821" max="13821" width="14.42578125" style="198" customWidth="1"/>
    <col min="13822" max="13822" width="14.28515625" style="198" customWidth="1"/>
    <col min="13823" max="13823" width="14.7109375" style="198" customWidth="1"/>
    <col min="13824" max="13824" width="10.85546875" style="198" customWidth="1"/>
    <col min="13825" max="13825" width="11.42578125" style="198" customWidth="1"/>
    <col min="13826" max="13826" width="21.28515625" style="198" customWidth="1"/>
    <col min="13827" max="13827" width="9" style="198"/>
    <col min="13828" max="13828" width="12.42578125" style="198" bestFit="1" customWidth="1"/>
    <col min="13829" max="14074" width="9" style="198"/>
    <col min="14075" max="14075" width="4.5703125" style="198" customWidth="1"/>
    <col min="14076" max="14076" width="29.85546875" style="198" customWidth="1"/>
    <col min="14077" max="14077" width="14.42578125" style="198" customWidth="1"/>
    <col min="14078" max="14078" width="14.28515625" style="198" customWidth="1"/>
    <col min="14079" max="14079" width="14.7109375" style="198" customWidth="1"/>
    <col min="14080" max="14080" width="10.85546875" style="198" customWidth="1"/>
    <col min="14081" max="14081" width="11.42578125" style="198" customWidth="1"/>
    <col min="14082" max="14082" width="21.28515625" style="198" customWidth="1"/>
    <col min="14083" max="14083" width="9" style="198"/>
    <col min="14084" max="14084" width="12.42578125" style="198" bestFit="1" customWidth="1"/>
    <col min="14085" max="14330" width="9" style="198"/>
    <col min="14331" max="14331" width="4.5703125" style="198" customWidth="1"/>
    <col min="14332" max="14332" width="29.85546875" style="198" customWidth="1"/>
    <col min="14333" max="14333" width="14.42578125" style="198" customWidth="1"/>
    <col min="14334" max="14334" width="14.28515625" style="198" customWidth="1"/>
    <col min="14335" max="14335" width="14.7109375" style="198" customWidth="1"/>
    <col min="14336" max="14336" width="10.85546875" style="198" customWidth="1"/>
    <col min="14337" max="14337" width="11.42578125" style="198" customWidth="1"/>
    <col min="14338" max="14338" width="21.28515625" style="198" customWidth="1"/>
    <col min="14339" max="14339" width="9" style="198"/>
    <col min="14340" max="14340" width="12.42578125" style="198" bestFit="1" customWidth="1"/>
    <col min="14341" max="14586" width="9" style="198"/>
    <col min="14587" max="14587" width="4.5703125" style="198" customWidth="1"/>
    <col min="14588" max="14588" width="29.85546875" style="198" customWidth="1"/>
    <col min="14589" max="14589" width="14.42578125" style="198" customWidth="1"/>
    <col min="14590" max="14590" width="14.28515625" style="198" customWidth="1"/>
    <col min="14591" max="14591" width="14.7109375" style="198" customWidth="1"/>
    <col min="14592" max="14592" width="10.85546875" style="198" customWidth="1"/>
    <col min="14593" max="14593" width="11.42578125" style="198" customWidth="1"/>
    <col min="14594" max="14594" width="21.28515625" style="198" customWidth="1"/>
    <col min="14595" max="14595" width="9" style="198"/>
    <col min="14596" max="14596" width="12.42578125" style="198" bestFit="1" customWidth="1"/>
    <col min="14597" max="14842" width="9" style="198"/>
    <col min="14843" max="14843" width="4.5703125" style="198" customWidth="1"/>
    <col min="14844" max="14844" width="29.85546875" style="198" customWidth="1"/>
    <col min="14845" max="14845" width="14.42578125" style="198" customWidth="1"/>
    <col min="14846" max="14846" width="14.28515625" style="198" customWidth="1"/>
    <col min="14847" max="14847" width="14.7109375" style="198" customWidth="1"/>
    <col min="14848" max="14848" width="10.85546875" style="198" customWidth="1"/>
    <col min="14849" max="14849" width="11.42578125" style="198" customWidth="1"/>
    <col min="14850" max="14850" width="21.28515625" style="198" customWidth="1"/>
    <col min="14851" max="14851" width="9" style="198"/>
    <col min="14852" max="14852" width="12.42578125" style="198" bestFit="1" customWidth="1"/>
    <col min="14853" max="15098" width="9" style="198"/>
    <col min="15099" max="15099" width="4.5703125" style="198" customWidth="1"/>
    <col min="15100" max="15100" width="29.85546875" style="198" customWidth="1"/>
    <col min="15101" max="15101" width="14.42578125" style="198" customWidth="1"/>
    <col min="15102" max="15102" width="14.28515625" style="198" customWidth="1"/>
    <col min="15103" max="15103" width="14.7109375" style="198" customWidth="1"/>
    <col min="15104" max="15104" width="10.85546875" style="198" customWidth="1"/>
    <col min="15105" max="15105" width="11.42578125" style="198" customWidth="1"/>
    <col min="15106" max="15106" width="21.28515625" style="198" customWidth="1"/>
    <col min="15107" max="15107" width="9" style="198"/>
    <col min="15108" max="15108" width="12.42578125" style="198" bestFit="1" customWidth="1"/>
    <col min="15109" max="15354" width="9" style="198"/>
    <col min="15355" max="15355" width="4.5703125" style="198" customWidth="1"/>
    <col min="15356" max="15356" width="29.85546875" style="198" customWidth="1"/>
    <col min="15357" max="15357" width="14.42578125" style="198" customWidth="1"/>
    <col min="15358" max="15358" width="14.28515625" style="198" customWidth="1"/>
    <col min="15359" max="15359" width="14.7109375" style="198" customWidth="1"/>
    <col min="15360" max="15360" width="10.85546875" style="198" customWidth="1"/>
    <col min="15361" max="15361" width="11.42578125" style="198" customWidth="1"/>
    <col min="15362" max="15362" width="21.28515625" style="198" customWidth="1"/>
    <col min="15363" max="15363" width="9" style="198"/>
    <col min="15364" max="15364" width="12.42578125" style="198" bestFit="1" customWidth="1"/>
    <col min="15365" max="15610" width="9" style="198"/>
    <col min="15611" max="15611" width="4.5703125" style="198" customWidth="1"/>
    <col min="15612" max="15612" width="29.85546875" style="198" customWidth="1"/>
    <col min="15613" max="15613" width="14.42578125" style="198" customWidth="1"/>
    <col min="15614" max="15614" width="14.28515625" style="198" customWidth="1"/>
    <col min="15615" max="15615" width="14.7109375" style="198" customWidth="1"/>
    <col min="15616" max="15616" width="10.85546875" style="198" customWidth="1"/>
    <col min="15617" max="15617" width="11.42578125" style="198" customWidth="1"/>
    <col min="15618" max="15618" width="21.28515625" style="198" customWidth="1"/>
    <col min="15619" max="15619" width="9" style="198"/>
    <col min="15620" max="15620" width="12.42578125" style="198" bestFit="1" customWidth="1"/>
    <col min="15621" max="15866" width="9" style="198"/>
    <col min="15867" max="15867" width="4.5703125" style="198" customWidth="1"/>
    <col min="15868" max="15868" width="29.85546875" style="198" customWidth="1"/>
    <col min="15869" max="15869" width="14.42578125" style="198" customWidth="1"/>
    <col min="15870" max="15870" width="14.28515625" style="198" customWidth="1"/>
    <col min="15871" max="15871" width="14.7109375" style="198" customWidth="1"/>
    <col min="15872" max="15872" width="10.85546875" style="198" customWidth="1"/>
    <col min="15873" max="15873" width="11.42578125" style="198" customWidth="1"/>
    <col min="15874" max="15874" width="21.28515625" style="198" customWidth="1"/>
    <col min="15875" max="15875" width="9" style="198"/>
    <col min="15876" max="15876" width="12.42578125" style="198" bestFit="1" customWidth="1"/>
    <col min="15877" max="16122" width="9" style="198"/>
    <col min="16123" max="16123" width="4.5703125" style="198" customWidth="1"/>
    <col min="16124" max="16124" width="29.85546875" style="198" customWidth="1"/>
    <col min="16125" max="16125" width="14.42578125" style="198" customWidth="1"/>
    <col min="16126" max="16126" width="14.28515625" style="198" customWidth="1"/>
    <col min="16127" max="16127" width="14.7109375" style="198" customWidth="1"/>
    <col min="16128" max="16128" width="10.85546875" style="198" customWidth="1"/>
    <col min="16129" max="16129" width="11.42578125" style="198" customWidth="1"/>
    <col min="16130" max="16130" width="21.28515625" style="198" customWidth="1"/>
    <col min="16131" max="16131" width="9" style="198"/>
    <col min="16132" max="16132" width="12.42578125" style="198" bestFit="1" customWidth="1"/>
    <col min="16133" max="16384" width="9" style="198"/>
  </cols>
  <sheetData>
    <row r="1" spans="1:9" ht="18.75" hidden="1" x14ac:dyDescent="0.25">
      <c r="A1" s="800" t="s">
        <v>426</v>
      </c>
      <c r="B1" s="800"/>
      <c r="C1" s="800"/>
      <c r="D1" s="800"/>
      <c r="E1" s="800"/>
    </row>
    <row r="2" spans="1:9" ht="18.75" customHeight="1" x14ac:dyDescent="0.25">
      <c r="A2" s="801" t="s">
        <v>415</v>
      </c>
      <c r="B2" s="801"/>
      <c r="C2" s="801"/>
      <c r="D2" s="801"/>
      <c r="E2" s="801"/>
    </row>
    <row r="3" spans="1:9" ht="25.5" customHeight="1" x14ac:dyDescent="0.25">
      <c r="A3" s="801" t="s">
        <v>470</v>
      </c>
      <c r="B3" s="801"/>
      <c r="C3" s="801"/>
      <c r="D3" s="801"/>
      <c r="E3" s="801"/>
    </row>
    <row r="4" spans="1:9" ht="36.75" customHeight="1" x14ac:dyDescent="0.25">
      <c r="A4" s="802" t="str">
        <f>'BC VĐT '!A3:N3</f>
        <v>(Kèm theo Báo cáo số:   449  /BC-UBND ngày   30 /11/2025 của UBND xã Cao Minh)</v>
      </c>
      <c r="B4" s="802"/>
      <c r="C4" s="802"/>
      <c r="D4" s="802"/>
      <c r="E4" s="802"/>
      <c r="F4" s="200"/>
      <c r="G4" s="200"/>
      <c r="H4" s="200"/>
      <c r="I4" s="200"/>
    </row>
    <row r="5" spans="1:9" ht="21" customHeight="1" x14ac:dyDescent="0.25">
      <c r="B5" s="201"/>
      <c r="D5" s="803" t="s">
        <v>471</v>
      </c>
      <c r="E5" s="803"/>
    </row>
    <row r="6" spans="1:9" s="202" customFormat="1" ht="31.5" x14ac:dyDescent="0.25">
      <c r="A6" s="265" t="s">
        <v>427</v>
      </c>
      <c r="B6" s="265" t="s">
        <v>428</v>
      </c>
      <c r="C6" s="265" t="s">
        <v>153</v>
      </c>
      <c r="D6" s="267" t="s">
        <v>883</v>
      </c>
      <c r="E6" s="266" t="s">
        <v>429</v>
      </c>
    </row>
    <row r="7" spans="1:9" s="205" customFormat="1" x14ac:dyDescent="0.25">
      <c r="A7" s="203" t="s">
        <v>6</v>
      </c>
      <c r="B7" s="203" t="s">
        <v>7</v>
      </c>
      <c r="C7" s="203">
        <v>1</v>
      </c>
      <c r="D7" s="203">
        <v>3</v>
      </c>
      <c r="E7" s="204" t="s">
        <v>63</v>
      </c>
    </row>
    <row r="8" spans="1:9" x14ac:dyDescent="0.25">
      <c r="A8" s="206"/>
      <c r="B8" s="206" t="s">
        <v>430</v>
      </c>
      <c r="C8" s="207">
        <f>C9+C36</f>
        <v>935000000</v>
      </c>
      <c r="D8" s="207">
        <f>D9+D36</f>
        <v>1331905452</v>
      </c>
      <c r="E8" s="208">
        <f>(D8/C8)</f>
        <v>1.4244978096256684</v>
      </c>
    </row>
    <row r="9" spans="1:9" s="213" customFormat="1" x14ac:dyDescent="0.25">
      <c r="A9" s="209" t="s">
        <v>23</v>
      </c>
      <c r="B9" s="210" t="s">
        <v>66</v>
      </c>
      <c r="C9" s="211">
        <f>C12+C16+C21+C23+C24+C25+C26+C27+C31+C10</f>
        <v>935000000</v>
      </c>
      <c r="D9" s="212">
        <f>D10+D12+D16+D21+D23+D24+D25+D26+D27+D31</f>
        <v>1271905452</v>
      </c>
      <c r="E9" s="208">
        <f>(D9/C9)</f>
        <v>1.360326686631016</v>
      </c>
    </row>
    <row r="10" spans="1:9" s="213" customFormat="1" ht="31.5" x14ac:dyDescent="0.25">
      <c r="A10" s="209">
        <v>1</v>
      </c>
      <c r="B10" s="214" t="s">
        <v>431</v>
      </c>
      <c r="C10" s="211">
        <f>C11</f>
        <v>0</v>
      </c>
      <c r="D10" s="212">
        <f>D11</f>
        <v>0</v>
      </c>
      <c r="E10" s="208"/>
    </row>
    <row r="11" spans="1:9" s="213" customFormat="1" x14ac:dyDescent="0.25">
      <c r="A11" s="209"/>
      <c r="B11" s="215" t="s">
        <v>432</v>
      </c>
      <c r="C11" s="216"/>
      <c r="D11" s="217"/>
      <c r="E11" s="218"/>
    </row>
    <row r="12" spans="1:9" ht="39" customHeight="1" x14ac:dyDescent="0.25">
      <c r="A12" s="209">
        <v>2</v>
      </c>
      <c r="B12" s="219" t="s">
        <v>433</v>
      </c>
      <c r="C12" s="211">
        <f>C13+C14</f>
        <v>19000000</v>
      </c>
      <c r="D12" s="220">
        <f>D13+D14</f>
        <v>14474809</v>
      </c>
      <c r="E12" s="208">
        <f>(D12/C12)</f>
        <v>0.76183205263157894</v>
      </c>
    </row>
    <row r="13" spans="1:9" x14ac:dyDescent="0.25">
      <c r="A13" s="221"/>
      <c r="B13" s="215" t="s">
        <v>432</v>
      </c>
      <c r="C13" s="216">
        <v>9500000</v>
      </c>
      <c r="D13" s="222">
        <v>7054878</v>
      </c>
      <c r="E13" s="218">
        <f>(D13/C13)</f>
        <v>0.74261873684210522</v>
      </c>
    </row>
    <row r="14" spans="1:9" x14ac:dyDescent="0.25">
      <c r="A14" s="221"/>
      <c r="B14" s="223" t="s">
        <v>434</v>
      </c>
      <c r="C14" s="216">
        <v>9500000</v>
      </c>
      <c r="D14" s="222">
        <v>7419931</v>
      </c>
      <c r="E14" s="218">
        <f>(D14/C14)</f>
        <v>0.78104536842105265</v>
      </c>
    </row>
    <row r="15" spans="1:9" ht="31.5" x14ac:dyDescent="0.25">
      <c r="A15" s="209">
        <v>3</v>
      </c>
      <c r="B15" s="219" t="s">
        <v>435</v>
      </c>
      <c r="C15" s="216"/>
      <c r="D15" s="224"/>
      <c r="E15" s="208"/>
    </row>
    <row r="16" spans="1:9" ht="31.5" x14ac:dyDescent="0.25">
      <c r="A16" s="209">
        <v>4</v>
      </c>
      <c r="B16" s="219" t="s">
        <v>436</v>
      </c>
      <c r="C16" s="211">
        <f>SUM(C17:C20)</f>
        <v>114000000</v>
      </c>
      <c r="D16" s="225">
        <f>D17+D18+D19+D20</f>
        <v>480215468</v>
      </c>
      <c r="E16" s="208">
        <f>(D16/C16)</f>
        <v>4.2124163859649126</v>
      </c>
    </row>
    <row r="17" spans="1:5" x14ac:dyDescent="0.25">
      <c r="A17" s="221"/>
      <c r="B17" s="223" t="s">
        <v>432</v>
      </c>
      <c r="C17" s="216">
        <v>114000000</v>
      </c>
      <c r="D17" s="226">
        <v>476965771</v>
      </c>
      <c r="E17" s="218">
        <f>(D17/C17)</f>
        <v>4.1839102719298245</v>
      </c>
    </row>
    <row r="18" spans="1:5" x14ac:dyDescent="0.25">
      <c r="A18" s="221"/>
      <c r="B18" s="223" t="s">
        <v>434</v>
      </c>
      <c r="C18" s="216"/>
      <c r="D18" s="226">
        <v>70044</v>
      </c>
      <c r="E18" s="218"/>
    </row>
    <row r="19" spans="1:5" x14ac:dyDescent="0.25">
      <c r="A19" s="221"/>
      <c r="B19" s="223" t="s">
        <v>437</v>
      </c>
      <c r="C19" s="216"/>
      <c r="D19" s="226">
        <v>1976233</v>
      </c>
      <c r="E19" s="218"/>
    </row>
    <row r="20" spans="1:5" x14ac:dyDescent="0.25">
      <c r="A20" s="221"/>
      <c r="B20" s="223" t="s">
        <v>438</v>
      </c>
      <c r="C20" s="216"/>
      <c r="D20" s="226">
        <v>1203420</v>
      </c>
      <c r="E20" s="218"/>
    </row>
    <row r="21" spans="1:5" x14ac:dyDescent="0.25">
      <c r="A21" s="209">
        <v>5</v>
      </c>
      <c r="B21" s="227" t="s">
        <v>72</v>
      </c>
      <c r="C21" s="211">
        <v>73000000</v>
      </c>
      <c r="D21" s="225">
        <v>190872243</v>
      </c>
      <c r="E21" s="208">
        <f>(D21/C21)</f>
        <v>2.6146882602739727</v>
      </c>
    </row>
    <row r="22" spans="1:5" x14ac:dyDescent="0.25">
      <c r="A22" s="209">
        <v>6</v>
      </c>
      <c r="B22" s="227" t="s">
        <v>73</v>
      </c>
      <c r="C22" s="211">
        <v>0</v>
      </c>
      <c r="D22" s="225"/>
      <c r="E22" s="208"/>
    </row>
    <row r="23" spans="1:5" x14ac:dyDescent="0.25">
      <c r="A23" s="209">
        <v>7</v>
      </c>
      <c r="B23" s="227" t="s">
        <v>77</v>
      </c>
      <c r="C23" s="211">
        <v>346000000</v>
      </c>
      <c r="D23" s="225">
        <v>364367752</v>
      </c>
      <c r="E23" s="208">
        <f>(D23/C23)</f>
        <v>1.0530859884393065</v>
      </c>
    </row>
    <row r="24" spans="1:5" x14ac:dyDescent="0.25">
      <c r="A24" s="209">
        <v>8</v>
      </c>
      <c r="B24" s="227" t="s">
        <v>131</v>
      </c>
      <c r="C24" s="211">
        <v>73000000</v>
      </c>
      <c r="D24" s="225">
        <v>103462241</v>
      </c>
      <c r="E24" s="208">
        <f>(D24/C24)</f>
        <v>1.4172909726027396</v>
      </c>
    </row>
    <row r="25" spans="1:5" x14ac:dyDescent="0.25">
      <c r="A25" s="209">
        <v>9</v>
      </c>
      <c r="B25" s="227" t="s">
        <v>83</v>
      </c>
      <c r="C25" s="211"/>
      <c r="D25" s="225">
        <v>17328</v>
      </c>
      <c r="E25" s="208"/>
    </row>
    <row r="26" spans="1:5" x14ac:dyDescent="0.25">
      <c r="A26" s="209">
        <v>10</v>
      </c>
      <c r="B26" s="227" t="s">
        <v>439</v>
      </c>
      <c r="C26" s="211"/>
      <c r="D26" s="225"/>
      <c r="E26" s="208"/>
    </row>
    <row r="27" spans="1:5" x14ac:dyDescent="0.25">
      <c r="A27" s="209">
        <v>11</v>
      </c>
      <c r="B27" s="227" t="s">
        <v>86</v>
      </c>
      <c r="C27" s="211"/>
      <c r="D27" s="212"/>
      <c r="E27" s="208"/>
    </row>
    <row r="28" spans="1:5" ht="31.5" x14ac:dyDescent="0.25">
      <c r="A28" s="209">
        <v>12</v>
      </c>
      <c r="B28" s="219" t="s">
        <v>85</v>
      </c>
      <c r="C28" s="211"/>
      <c r="D28" s="212"/>
      <c r="E28" s="208"/>
    </row>
    <row r="29" spans="1:5" ht="31.5" x14ac:dyDescent="0.25">
      <c r="A29" s="209">
        <v>13</v>
      </c>
      <c r="B29" s="219" t="s">
        <v>440</v>
      </c>
      <c r="C29" s="211"/>
      <c r="D29" s="212"/>
      <c r="E29" s="208"/>
    </row>
    <row r="30" spans="1:5" ht="31.5" x14ac:dyDescent="0.25">
      <c r="A30" s="209">
        <v>14</v>
      </c>
      <c r="B30" s="219" t="s">
        <v>441</v>
      </c>
      <c r="C30" s="211"/>
      <c r="D30" s="212"/>
      <c r="E30" s="208"/>
    </row>
    <row r="31" spans="1:5" x14ac:dyDescent="0.25">
      <c r="A31" s="209">
        <v>15</v>
      </c>
      <c r="B31" s="227" t="s">
        <v>90</v>
      </c>
      <c r="C31" s="211">
        <v>310000000</v>
      </c>
      <c r="D31" s="212">
        <v>118495611</v>
      </c>
      <c r="E31" s="208">
        <f>(D31/C31)</f>
        <v>0.38224390645161288</v>
      </c>
    </row>
    <row r="32" spans="1:5" hidden="1" x14ac:dyDescent="0.25">
      <c r="A32" s="209">
        <v>16</v>
      </c>
      <c r="B32" s="227" t="s">
        <v>442</v>
      </c>
      <c r="C32" s="211"/>
      <c r="D32" s="212"/>
      <c r="E32" s="208"/>
    </row>
    <row r="33" spans="1:5" hidden="1" x14ac:dyDescent="0.25">
      <c r="A33" s="209">
        <v>17</v>
      </c>
      <c r="B33" s="227" t="s">
        <v>443</v>
      </c>
      <c r="C33" s="211"/>
      <c r="D33" s="212"/>
      <c r="E33" s="208"/>
    </row>
    <row r="34" spans="1:5" ht="78.75" hidden="1" x14ac:dyDescent="0.25">
      <c r="A34" s="209">
        <v>18</v>
      </c>
      <c r="B34" s="219" t="s">
        <v>444</v>
      </c>
      <c r="C34" s="216"/>
      <c r="D34" s="217"/>
      <c r="E34" s="218"/>
    </row>
    <row r="35" spans="1:5" ht="31.5" hidden="1" x14ac:dyDescent="0.25">
      <c r="A35" s="209">
        <v>19</v>
      </c>
      <c r="B35" s="219" t="s">
        <v>445</v>
      </c>
      <c r="C35" s="216"/>
      <c r="D35" s="217"/>
      <c r="E35" s="218"/>
    </row>
    <row r="36" spans="1:5" s="228" customFormat="1" x14ac:dyDescent="0.25">
      <c r="A36" s="209" t="s">
        <v>27</v>
      </c>
      <c r="B36" s="219" t="s">
        <v>102</v>
      </c>
      <c r="C36" s="211">
        <v>0</v>
      </c>
      <c r="D36" s="220">
        <v>60000000</v>
      </c>
      <c r="E36" s="208"/>
    </row>
    <row r="37" spans="1:5" x14ac:dyDescent="0.25">
      <c r="A37" s="229"/>
      <c r="B37" s="230"/>
      <c r="C37" s="231"/>
      <c r="D37" s="232"/>
      <c r="E37" s="268"/>
    </row>
    <row r="38" spans="1:5" x14ac:dyDescent="0.25">
      <c r="A38" s="229"/>
      <c r="B38" s="199"/>
      <c r="C38" s="229"/>
      <c r="D38" s="233"/>
      <c r="E38" s="199"/>
    </row>
    <row r="39" spans="1:5" x14ac:dyDescent="0.25">
      <c r="A39" s="229"/>
      <c r="B39" s="199"/>
      <c r="C39" s="229"/>
      <c r="D39" s="233"/>
      <c r="E39" s="234"/>
    </row>
    <row r="40" spans="1:5" x14ac:dyDescent="0.25">
      <c r="A40" s="229"/>
      <c r="B40" s="235"/>
      <c r="C40" s="229"/>
      <c r="D40" s="229"/>
      <c r="E40" s="236"/>
    </row>
    <row r="43" spans="1:5" x14ac:dyDescent="0.25">
      <c r="D43" s="197"/>
    </row>
  </sheetData>
  <mergeCells count="5">
    <mergeCell ref="A1:E1"/>
    <mergeCell ref="A3:E3"/>
    <mergeCell ref="A4:E4"/>
    <mergeCell ref="D5:E5"/>
    <mergeCell ref="A2:E2"/>
  </mergeCells>
  <pageMargins left="0.57999999999999996" right="0.28999999999999998" top="0.57999999999999996" bottom="0.75" header="0.3" footer="0.3"/>
  <pageSetup paperSize="9" orientation="portrait" verticalDpi="0" r:id="rId1"/>
  <headerFooter>
    <oddFooter>&amp;C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5"/>
  <sheetViews>
    <sheetView view="pageBreakPreview" zoomScaleNormal="100" zoomScaleSheetLayoutView="100" workbookViewId="0">
      <selection activeCell="A3" sqref="A3:I3"/>
    </sheetView>
  </sheetViews>
  <sheetFormatPr defaultColWidth="9" defaultRowHeight="15" x14ac:dyDescent="0.25"/>
  <cols>
    <col min="1" max="1" width="5.28515625" style="704" customWidth="1"/>
    <col min="2" max="2" width="37.5703125" style="704" customWidth="1"/>
    <col min="3" max="3" width="12.42578125" style="704" hidden="1" customWidth="1"/>
    <col min="4" max="4" width="0.42578125" style="704" hidden="1" customWidth="1"/>
    <col min="5" max="5" width="14.42578125" style="704" customWidth="1"/>
    <col min="6" max="6" width="14.140625" style="704" customWidth="1"/>
    <col min="7" max="7" width="9" style="704" customWidth="1"/>
    <col min="8" max="8" width="10.42578125" style="704" hidden="1" customWidth="1"/>
    <col min="9" max="9" width="9" style="704" hidden="1" customWidth="1"/>
    <col min="10" max="16384" width="9" style="704"/>
  </cols>
  <sheetData>
    <row r="1" spans="1:10" ht="47.25" customHeight="1" x14ac:dyDescent="0.25">
      <c r="B1" s="705"/>
      <c r="C1" s="705"/>
      <c r="D1" s="705"/>
      <c r="E1" s="851" t="s">
        <v>412</v>
      </c>
      <c r="F1" s="851"/>
      <c r="G1" s="851"/>
      <c r="H1" s="851"/>
      <c r="I1" s="851"/>
    </row>
    <row r="2" spans="1:10" ht="20.25" customHeight="1" x14ac:dyDescent="0.25">
      <c r="A2" s="854" t="s">
        <v>416</v>
      </c>
      <c r="B2" s="854"/>
      <c r="C2" s="854"/>
      <c r="D2" s="854"/>
      <c r="E2" s="854"/>
      <c r="F2" s="854"/>
      <c r="G2" s="854"/>
      <c r="H2" s="854"/>
      <c r="I2" s="854"/>
    </row>
    <row r="3" spans="1:10" ht="20.25" customHeight="1" x14ac:dyDescent="0.25">
      <c r="A3" s="853" t="s">
        <v>404</v>
      </c>
      <c r="B3" s="853"/>
      <c r="C3" s="853"/>
      <c r="D3" s="853"/>
      <c r="E3" s="853"/>
      <c r="F3" s="853"/>
      <c r="G3" s="853"/>
      <c r="H3" s="853"/>
      <c r="I3" s="853"/>
    </row>
    <row r="4" spans="1:10" ht="20.25" customHeight="1" x14ac:dyDescent="0.25">
      <c r="A4" s="852" t="str">
        <f>'15'!A4:G4</f>
        <v>(Kèm theo Nghị quyết số: 33 /NQ-HĐND ngày  19/12/2025 của HĐND xã Cao Minh)</v>
      </c>
      <c r="B4" s="852"/>
      <c r="C4" s="852"/>
      <c r="D4" s="852"/>
      <c r="E4" s="852"/>
      <c r="F4" s="852"/>
      <c r="G4" s="852"/>
      <c r="H4" s="852"/>
      <c r="I4" s="852"/>
    </row>
    <row r="5" spans="1:10" ht="20.25" customHeight="1" x14ac:dyDescent="0.25">
      <c r="A5" s="858" t="s">
        <v>228</v>
      </c>
      <c r="B5" s="858"/>
      <c r="C5" s="858"/>
      <c r="D5" s="858"/>
      <c r="E5" s="858"/>
      <c r="F5" s="858"/>
      <c r="G5" s="858"/>
      <c r="H5" s="858"/>
      <c r="I5" s="858"/>
    </row>
    <row r="6" spans="1:10" ht="21.75" customHeight="1" x14ac:dyDescent="0.25">
      <c r="A6" s="850" t="s">
        <v>0</v>
      </c>
      <c r="B6" s="850" t="s">
        <v>59</v>
      </c>
      <c r="C6" s="850" t="s">
        <v>373</v>
      </c>
      <c r="D6" s="850"/>
      <c r="E6" s="850" t="s">
        <v>403</v>
      </c>
      <c r="F6" s="850"/>
      <c r="G6" s="856" t="s">
        <v>264</v>
      </c>
      <c r="H6" s="850" t="s">
        <v>60</v>
      </c>
      <c r="I6" s="850"/>
    </row>
    <row r="7" spans="1:10" ht="27" customHeight="1" x14ac:dyDescent="0.25">
      <c r="A7" s="850"/>
      <c r="B7" s="850"/>
      <c r="C7" s="706" t="s">
        <v>61</v>
      </c>
      <c r="D7" s="706" t="s">
        <v>62</v>
      </c>
      <c r="E7" s="706" t="s">
        <v>61</v>
      </c>
      <c r="F7" s="706" t="s">
        <v>62</v>
      </c>
      <c r="G7" s="857"/>
      <c r="H7" s="706" t="s">
        <v>61</v>
      </c>
      <c r="I7" s="706" t="s">
        <v>62</v>
      </c>
    </row>
    <row r="8" spans="1:10" s="709" customFormat="1" ht="20.25" customHeight="1" x14ac:dyDescent="0.25">
      <c r="A8" s="707" t="s">
        <v>6</v>
      </c>
      <c r="B8" s="707" t="s">
        <v>7</v>
      </c>
      <c r="C8" s="707">
        <v>1</v>
      </c>
      <c r="D8" s="707">
        <v>2</v>
      </c>
      <c r="E8" s="707">
        <v>1</v>
      </c>
      <c r="F8" s="707">
        <v>2</v>
      </c>
      <c r="G8" s="707">
        <v>3</v>
      </c>
      <c r="H8" s="707" t="s">
        <v>63</v>
      </c>
      <c r="I8" s="707" t="s">
        <v>64</v>
      </c>
    </row>
    <row r="9" spans="1:10" ht="20.25" customHeight="1" x14ac:dyDescent="0.25">
      <c r="A9" s="706"/>
      <c r="B9" s="710" t="s">
        <v>65</v>
      </c>
      <c r="C9" s="720">
        <f>C10+C47+C48+C55</f>
        <v>1400000000</v>
      </c>
      <c r="D9" s="720">
        <f t="shared" ref="D9:F9" si="0">D10+D47+D48+D55</f>
        <v>60000000</v>
      </c>
      <c r="E9" s="720">
        <f t="shared" si="0"/>
        <v>1600000000</v>
      </c>
      <c r="F9" s="720">
        <f t="shared" si="0"/>
        <v>1518000000</v>
      </c>
      <c r="G9" s="720"/>
      <c r="H9" s="712">
        <f>E9/C9</f>
        <v>1.1428571428571428</v>
      </c>
      <c r="I9" s="712">
        <f>F9/D9</f>
        <v>25.3</v>
      </c>
    </row>
    <row r="10" spans="1:10" ht="20.25" customHeight="1" x14ac:dyDescent="0.25">
      <c r="A10" s="706" t="s">
        <v>23</v>
      </c>
      <c r="B10" s="710" t="s">
        <v>66</v>
      </c>
      <c r="C10" s="721">
        <f>C11+C13+C16+C18+C24+C28+C29+C34+C35+C36+C37+C38+C39+C42+C43+C44+C45+C46</f>
        <v>1340000000</v>
      </c>
      <c r="D10" s="721"/>
      <c r="E10" s="720">
        <f>E11+E13+E16+E18+E23+E24+E28+E29+E37+E42</f>
        <v>1600000000</v>
      </c>
      <c r="F10" s="720">
        <f>F11+F13+F16+F18+F23+F24+F28+F29+F37+F42</f>
        <v>1518000000</v>
      </c>
      <c r="G10" s="720"/>
      <c r="H10" s="712">
        <f>E10/C10</f>
        <v>1.1940298507462686</v>
      </c>
      <c r="I10" s="712"/>
    </row>
    <row r="11" spans="1:10" ht="21" customHeight="1" x14ac:dyDescent="0.25">
      <c r="A11" s="715">
        <v>1</v>
      </c>
      <c r="B11" s="716" t="s">
        <v>67</v>
      </c>
      <c r="C11" s="722"/>
      <c r="D11" s="722"/>
      <c r="E11" s="723"/>
      <c r="F11" s="723"/>
      <c r="G11" s="723"/>
      <c r="H11" s="715"/>
      <c r="I11" s="715"/>
    </row>
    <row r="12" spans="1:10" ht="21" customHeight="1" x14ac:dyDescent="0.25">
      <c r="A12" s="715"/>
      <c r="B12" s="716" t="s">
        <v>68</v>
      </c>
      <c r="C12" s="722"/>
      <c r="D12" s="722"/>
      <c r="E12" s="723"/>
      <c r="F12" s="723"/>
      <c r="G12" s="723"/>
      <c r="H12" s="715"/>
      <c r="I12" s="715"/>
    </row>
    <row r="13" spans="1:10" ht="21" customHeight="1" x14ac:dyDescent="0.25">
      <c r="A13" s="715">
        <v>2</v>
      </c>
      <c r="B13" s="716" t="s">
        <v>127</v>
      </c>
      <c r="C13" s="722">
        <v>14474809</v>
      </c>
      <c r="D13" s="722"/>
      <c r="E13" s="722">
        <v>20000000</v>
      </c>
      <c r="F13" s="723"/>
      <c r="G13" s="723"/>
      <c r="H13" s="715"/>
      <c r="I13" s="715"/>
    </row>
    <row r="14" spans="1:10" ht="21" customHeight="1" x14ac:dyDescent="0.25">
      <c r="A14" s="715"/>
      <c r="B14" s="716" t="s">
        <v>422</v>
      </c>
      <c r="C14" s="722">
        <v>7054878</v>
      </c>
      <c r="D14" s="722"/>
      <c r="E14" s="723">
        <v>10000000</v>
      </c>
      <c r="F14" s="723"/>
      <c r="G14" s="723"/>
      <c r="H14" s="715"/>
      <c r="I14" s="715"/>
      <c r="J14" s="704" t="s">
        <v>896</v>
      </c>
    </row>
    <row r="15" spans="1:10" ht="21" customHeight="1" x14ac:dyDescent="0.25">
      <c r="A15" s="715"/>
      <c r="B15" s="716" t="s">
        <v>423</v>
      </c>
      <c r="C15" s="722">
        <v>7419931</v>
      </c>
      <c r="D15" s="722"/>
      <c r="E15" s="723">
        <v>10000000</v>
      </c>
      <c r="F15" s="723"/>
      <c r="G15" s="723"/>
      <c r="H15" s="715"/>
      <c r="I15" s="715"/>
      <c r="J15" s="704" t="s">
        <v>896</v>
      </c>
    </row>
    <row r="16" spans="1:10" ht="28.5" customHeight="1" x14ac:dyDescent="0.25">
      <c r="A16" s="715">
        <v>3</v>
      </c>
      <c r="B16" s="716" t="s">
        <v>128</v>
      </c>
      <c r="C16" s="722"/>
      <c r="D16" s="723"/>
      <c r="E16" s="723"/>
      <c r="F16" s="723"/>
      <c r="G16" s="723"/>
      <c r="H16" s="715"/>
      <c r="I16" s="715"/>
    </row>
    <row r="17" spans="1:10" ht="19.5" customHeight="1" x14ac:dyDescent="0.25">
      <c r="A17" s="715"/>
      <c r="B17" s="716" t="s">
        <v>68</v>
      </c>
      <c r="C17" s="722"/>
      <c r="D17" s="723"/>
      <c r="E17" s="723"/>
      <c r="F17" s="723"/>
      <c r="G17" s="723"/>
      <c r="H17" s="715"/>
      <c r="I17" s="715"/>
    </row>
    <row r="18" spans="1:10" ht="19.5" customHeight="1" x14ac:dyDescent="0.25">
      <c r="A18" s="715">
        <v>4</v>
      </c>
      <c r="B18" s="716" t="s">
        <v>129</v>
      </c>
      <c r="C18" s="722">
        <v>488000000</v>
      </c>
      <c r="D18" s="723"/>
      <c r="E18" s="723">
        <v>566000000</v>
      </c>
      <c r="F18" s="723">
        <v>566000000</v>
      </c>
      <c r="G18" s="723"/>
      <c r="H18" s="715"/>
      <c r="I18" s="715"/>
      <c r="J18" s="704" t="s">
        <v>896</v>
      </c>
    </row>
    <row r="19" spans="1:10" s="709" customFormat="1" ht="19.5" customHeight="1" x14ac:dyDescent="0.25">
      <c r="A19" s="707"/>
      <c r="B19" s="724" t="s">
        <v>423</v>
      </c>
      <c r="C19" s="725">
        <v>70044</v>
      </c>
      <c r="D19" s="725"/>
      <c r="E19" s="726">
        <v>5000000</v>
      </c>
      <c r="F19" s="726">
        <v>5000000</v>
      </c>
      <c r="G19" s="726"/>
      <c r="H19" s="707"/>
      <c r="I19" s="707"/>
    </row>
    <row r="20" spans="1:10" s="709" customFormat="1" ht="19.5" customHeight="1" x14ac:dyDescent="0.25">
      <c r="A20" s="707"/>
      <c r="B20" s="724" t="s">
        <v>424</v>
      </c>
      <c r="C20" s="725">
        <v>1976233</v>
      </c>
      <c r="D20" s="725"/>
      <c r="E20" s="726"/>
      <c r="F20" s="726"/>
      <c r="G20" s="726"/>
      <c r="H20" s="707"/>
      <c r="I20" s="707"/>
    </row>
    <row r="21" spans="1:10" s="709" customFormat="1" ht="19.5" customHeight="1" x14ac:dyDescent="0.25">
      <c r="A21" s="707"/>
      <c r="B21" s="724" t="s">
        <v>422</v>
      </c>
      <c r="C21" s="725">
        <f>476965771+7784532</f>
        <v>484750303</v>
      </c>
      <c r="D21" s="725"/>
      <c r="E21" s="726">
        <v>560000000</v>
      </c>
      <c r="F21" s="726">
        <v>560000000</v>
      </c>
      <c r="G21" s="726"/>
      <c r="H21" s="707"/>
      <c r="I21" s="707"/>
    </row>
    <row r="22" spans="1:10" s="709" customFormat="1" ht="19.5" customHeight="1" x14ac:dyDescent="0.25">
      <c r="A22" s="707"/>
      <c r="B22" s="724" t="s">
        <v>425</v>
      </c>
      <c r="C22" s="725">
        <v>1203420</v>
      </c>
      <c r="D22" s="725"/>
      <c r="E22" s="726">
        <v>1000000</v>
      </c>
      <c r="F22" s="726">
        <v>1000000</v>
      </c>
      <c r="G22" s="726"/>
      <c r="H22" s="707"/>
      <c r="I22" s="707"/>
    </row>
    <row r="23" spans="1:10" s="709" customFormat="1" ht="19.5" customHeight="1" x14ac:dyDescent="0.25">
      <c r="A23" s="707"/>
      <c r="B23" s="724" t="s">
        <v>101</v>
      </c>
      <c r="C23" s="725"/>
      <c r="D23" s="725"/>
      <c r="E23" s="726"/>
      <c r="F23" s="726"/>
      <c r="G23" s="726"/>
      <c r="H23" s="707"/>
      <c r="I23" s="707"/>
    </row>
    <row r="24" spans="1:10" ht="19.5" customHeight="1" x14ac:dyDescent="0.25">
      <c r="A24" s="715">
        <v>5</v>
      </c>
      <c r="B24" s="716" t="s">
        <v>72</v>
      </c>
      <c r="C24" s="722">
        <v>195000000</v>
      </c>
      <c r="D24" s="723"/>
      <c r="E24" s="722">
        <v>190000000</v>
      </c>
      <c r="F24" s="723">
        <v>190000000</v>
      </c>
      <c r="G24" s="723"/>
      <c r="H24" s="715"/>
      <c r="I24" s="715"/>
      <c r="J24" s="704" t="s">
        <v>896</v>
      </c>
    </row>
    <row r="25" spans="1:10" ht="19.5" customHeight="1" x14ac:dyDescent="0.25">
      <c r="A25" s="715">
        <v>6</v>
      </c>
      <c r="B25" s="716" t="s">
        <v>130</v>
      </c>
      <c r="C25" s="722"/>
      <c r="D25" s="723"/>
      <c r="E25" s="722"/>
      <c r="F25" s="723"/>
      <c r="G25" s="723"/>
      <c r="H25" s="715"/>
      <c r="I25" s="715"/>
    </row>
    <row r="26" spans="1:10" ht="32.25" customHeight="1" x14ac:dyDescent="0.25">
      <c r="A26" s="715" t="s">
        <v>74</v>
      </c>
      <c r="B26" s="724" t="s">
        <v>75</v>
      </c>
      <c r="C26" s="722"/>
      <c r="D26" s="723"/>
      <c r="E26" s="722"/>
      <c r="F26" s="723"/>
      <c r="G26" s="723"/>
      <c r="H26" s="715"/>
      <c r="I26" s="715"/>
    </row>
    <row r="27" spans="1:10" ht="20.25" customHeight="1" x14ac:dyDescent="0.25">
      <c r="A27" s="715" t="s">
        <v>74</v>
      </c>
      <c r="B27" s="724" t="s">
        <v>76</v>
      </c>
      <c r="C27" s="722"/>
      <c r="D27" s="723"/>
      <c r="E27" s="722"/>
      <c r="F27" s="723"/>
      <c r="G27" s="723"/>
      <c r="H27" s="715"/>
      <c r="I27" s="715"/>
    </row>
    <row r="28" spans="1:10" ht="20.25" customHeight="1" x14ac:dyDescent="0.25">
      <c r="A28" s="715">
        <v>7</v>
      </c>
      <c r="B28" s="716" t="s">
        <v>77</v>
      </c>
      <c r="C28" s="722">
        <f>410000000+505191</f>
        <v>410505191</v>
      </c>
      <c r="D28" s="723"/>
      <c r="E28" s="722">
        <v>490000000</v>
      </c>
      <c r="F28" s="723">
        <v>490000000</v>
      </c>
      <c r="G28" s="723"/>
      <c r="H28" s="715"/>
      <c r="I28" s="715"/>
      <c r="J28" s="704" t="s">
        <v>896</v>
      </c>
    </row>
    <row r="29" spans="1:10" ht="20.25" customHeight="1" x14ac:dyDescent="0.25">
      <c r="A29" s="715">
        <v>8</v>
      </c>
      <c r="B29" s="716" t="s">
        <v>131</v>
      </c>
      <c r="C29" s="722">
        <v>112000000</v>
      </c>
      <c r="D29" s="723"/>
      <c r="E29" s="722">
        <v>124000000</v>
      </c>
      <c r="F29" s="723">
        <f>F30+F33</f>
        <v>84000000</v>
      </c>
      <c r="G29" s="723"/>
      <c r="H29" s="715"/>
      <c r="I29" s="715"/>
    </row>
    <row r="30" spans="1:10" ht="20.25" customHeight="1" x14ac:dyDescent="0.25">
      <c r="A30" s="715" t="s">
        <v>74</v>
      </c>
      <c r="B30" s="724" t="s">
        <v>79</v>
      </c>
      <c r="C30" s="725">
        <v>12000000</v>
      </c>
      <c r="D30" s="726"/>
      <c r="E30" s="725">
        <v>40000000</v>
      </c>
      <c r="F30" s="726"/>
      <c r="G30" s="726"/>
      <c r="H30" s="715"/>
      <c r="I30" s="715"/>
    </row>
    <row r="31" spans="1:10" ht="20.25" customHeight="1" x14ac:dyDescent="0.25">
      <c r="A31" s="715" t="s">
        <v>74</v>
      </c>
      <c r="B31" s="724" t="s">
        <v>80</v>
      </c>
      <c r="C31" s="725"/>
      <c r="D31" s="726"/>
      <c r="E31" s="725"/>
      <c r="F31" s="726"/>
      <c r="G31" s="726"/>
      <c r="H31" s="715"/>
      <c r="I31" s="715"/>
    </row>
    <row r="32" spans="1:10" ht="20.25" customHeight="1" x14ac:dyDescent="0.25">
      <c r="A32" s="715" t="s">
        <v>74</v>
      </c>
      <c r="B32" s="724" t="s">
        <v>81</v>
      </c>
      <c r="C32" s="725"/>
      <c r="D32" s="726"/>
      <c r="E32" s="725"/>
      <c r="F32" s="726"/>
      <c r="G32" s="726"/>
      <c r="H32" s="715"/>
      <c r="I32" s="715"/>
    </row>
    <row r="33" spans="1:10" ht="20.25" customHeight="1" x14ac:dyDescent="0.25">
      <c r="A33" s="715" t="s">
        <v>74</v>
      </c>
      <c r="B33" s="724" t="s">
        <v>82</v>
      </c>
      <c r="C33" s="725">
        <f>C29-C30</f>
        <v>100000000</v>
      </c>
      <c r="D33" s="726"/>
      <c r="E33" s="725">
        <f>E29-E30</f>
        <v>84000000</v>
      </c>
      <c r="F33" s="726">
        <v>84000000</v>
      </c>
      <c r="G33" s="726"/>
      <c r="H33" s="715"/>
      <c r="I33" s="715"/>
      <c r="J33" s="727">
        <v>1</v>
      </c>
    </row>
    <row r="34" spans="1:10" ht="20.25" customHeight="1" x14ac:dyDescent="0.25">
      <c r="A34" s="715">
        <v>9</v>
      </c>
      <c r="B34" s="716" t="s">
        <v>83</v>
      </c>
      <c r="C34" s="722"/>
      <c r="D34" s="723"/>
      <c r="E34" s="722"/>
      <c r="F34" s="723"/>
      <c r="G34" s="723"/>
      <c r="H34" s="715"/>
      <c r="I34" s="715"/>
    </row>
    <row r="35" spans="1:10" ht="20.25" customHeight="1" x14ac:dyDescent="0.25">
      <c r="A35" s="715">
        <v>10</v>
      </c>
      <c r="B35" s="716" t="s">
        <v>84</v>
      </c>
      <c r="C35" s="722">
        <v>20000</v>
      </c>
      <c r="D35" s="723"/>
      <c r="E35" s="722"/>
      <c r="F35" s="723"/>
      <c r="G35" s="723"/>
      <c r="H35" s="715"/>
      <c r="I35" s="715"/>
    </row>
    <row r="36" spans="1:10" ht="20.25" customHeight="1" x14ac:dyDescent="0.25">
      <c r="A36" s="715">
        <v>11</v>
      </c>
      <c r="B36" s="716" t="s">
        <v>85</v>
      </c>
      <c r="C36" s="722"/>
      <c r="D36" s="723"/>
      <c r="E36" s="722"/>
      <c r="F36" s="723"/>
      <c r="G36" s="723"/>
      <c r="H36" s="715"/>
      <c r="I36" s="715"/>
    </row>
    <row r="37" spans="1:10" ht="20.25" customHeight="1" x14ac:dyDescent="0.25">
      <c r="A37" s="715">
        <v>12</v>
      </c>
      <c r="B37" s="716" t="s">
        <v>86</v>
      </c>
      <c r="C37" s="722"/>
      <c r="D37" s="723"/>
      <c r="E37" s="722">
        <v>50000000</v>
      </c>
      <c r="F37" s="723">
        <v>38000000</v>
      </c>
      <c r="G37" s="723"/>
      <c r="H37" s="715"/>
      <c r="I37" s="715"/>
      <c r="J37" s="704" t="s">
        <v>896</v>
      </c>
    </row>
    <row r="38" spans="1:10" ht="24" customHeight="1" x14ac:dyDescent="0.25">
      <c r="A38" s="715">
        <v>13</v>
      </c>
      <c r="B38" s="716" t="s">
        <v>87</v>
      </c>
      <c r="C38" s="722"/>
      <c r="D38" s="723"/>
      <c r="E38" s="722"/>
      <c r="F38" s="723"/>
      <c r="G38" s="723"/>
      <c r="H38" s="715"/>
      <c r="I38" s="715"/>
    </row>
    <row r="39" spans="1:10" ht="20.25" customHeight="1" x14ac:dyDescent="0.25">
      <c r="A39" s="715">
        <v>14</v>
      </c>
      <c r="B39" s="716" t="s">
        <v>132</v>
      </c>
      <c r="C39" s="722"/>
      <c r="D39" s="723"/>
      <c r="E39" s="722"/>
      <c r="F39" s="723"/>
      <c r="G39" s="723"/>
      <c r="H39" s="715"/>
      <c r="I39" s="715"/>
    </row>
    <row r="40" spans="1:10" ht="20.25" customHeight="1" x14ac:dyDescent="0.25">
      <c r="A40" s="715"/>
      <c r="B40" s="716" t="s">
        <v>68</v>
      </c>
      <c r="C40" s="722"/>
      <c r="D40" s="723"/>
      <c r="E40" s="722"/>
      <c r="F40" s="723"/>
      <c r="G40" s="723"/>
      <c r="H40" s="715"/>
      <c r="I40" s="715"/>
    </row>
    <row r="41" spans="1:10" ht="20.25" customHeight="1" x14ac:dyDescent="0.25">
      <c r="A41" s="715">
        <v>15</v>
      </c>
      <c r="B41" s="716" t="s">
        <v>89</v>
      </c>
      <c r="C41" s="722"/>
      <c r="D41" s="723"/>
      <c r="E41" s="722"/>
      <c r="F41" s="723"/>
      <c r="G41" s="723"/>
      <c r="H41" s="715"/>
      <c r="I41" s="715"/>
    </row>
    <row r="42" spans="1:10" ht="20.25" customHeight="1" x14ac:dyDescent="0.25">
      <c r="A42" s="715">
        <v>16</v>
      </c>
      <c r="B42" s="716" t="s">
        <v>90</v>
      </c>
      <c r="C42" s="722">
        <v>120000000</v>
      </c>
      <c r="D42" s="723"/>
      <c r="E42" s="722">
        <v>160000000</v>
      </c>
      <c r="F42" s="723">
        <v>150000000</v>
      </c>
      <c r="G42" s="723"/>
      <c r="H42" s="715"/>
      <c r="I42" s="715"/>
      <c r="J42" s="727">
        <v>1</v>
      </c>
    </row>
    <row r="43" spans="1:10" ht="20.25" customHeight="1" x14ac:dyDescent="0.25">
      <c r="A43" s="715">
        <v>17</v>
      </c>
      <c r="B43" s="716" t="s">
        <v>91</v>
      </c>
      <c r="C43" s="722"/>
      <c r="D43" s="723"/>
      <c r="E43" s="722"/>
      <c r="F43" s="723"/>
      <c r="G43" s="723"/>
      <c r="H43" s="715"/>
      <c r="I43" s="715"/>
    </row>
    <row r="44" spans="1:10" ht="20.25" customHeight="1" x14ac:dyDescent="0.25">
      <c r="A44" s="715">
        <v>18</v>
      </c>
      <c r="B44" s="716" t="s">
        <v>92</v>
      </c>
      <c r="C44" s="722"/>
      <c r="D44" s="723"/>
      <c r="E44" s="722"/>
      <c r="F44" s="723"/>
      <c r="G44" s="723"/>
      <c r="H44" s="715"/>
      <c r="I44" s="715"/>
    </row>
    <row r="45" spans="1:10" ht="49.5" customHeight="1" x14ac:dyDescent="0.25">
      <c r="A45" s="715">
        <v>19</v>
      </c>
      <c r="B45" s="716" t="s">
        <v>93</v>
      </c>
      <c r="C45" s="722"/>
      <c r="D45" s="723"/>
      <c r="E45" s="722"/>
      <c r="F45" s="723"/>
      <c r="G45" s="723"/>
      <c r="H45" s="715"/>
      <c r="I45" s="715"/>
    </row>
    <row r="46" spans="1:10" ht="21.75" customHeight="1" x14ac:dyDescent="0.25">
      <c r="A46" s="715">
        <v>20</v>
      </c>
      <c r="B46" s="716" t="s">
        <v>94</v>
      </c>
      <c r="C46" s="722"/>
      <c r="D46" s="723"/>
      <c r="E46" s="722"/>
      <c r="F46" s="723"/>
      <c r="G46" s="723"/>
      <c r="H46" s="715"/>
      <c r="I46" s="715"/>
    </row>
    <row r="47" spans="1:10" ht="21.75" customHeight="1" x14ac:dyDescent="0.25">
      <c r="A47" s="706" t="s">
        <v>27</v>
      </c>
      <c r="B47" s="710" t="s">
        <v>95</v>
      </c>
      <c r="C47" s="723"/>
      <c r="D47" s="723"/>
      <c r="E47" s="723"/>
      <c r="F47" s="723"/>
      <c r="G47" s="723"/>
      <c r="H47" s="715"/>
      <c r="I47" s="715"/>
    </row>
    <row r="48" spans="1:10" ht="21.75" customHeight="1" x14ac:dyDescent="0.25">
      <c r="A48" s="706" t="s">
        <v>31</v>
      </c>
      <c r="B48" s="710" t="s">
        <v>133</v>
      </c>
      <c r="C48" s="723"/>
      <c r="D48" s="723"/>
      <c r="E48" s="723"/>
      <c r="F48" s="723"/>
      <c r="G48" s="723"/>
      <c r="H48" s="715"/>
      <c r="I48" s="715"/>
    </row>
    <row r="49" spans="1:9" ht="21.75" customHeight="1" x14ac:dyDescent="0.25">
      <c r="A49" s="715">
        <v>1</v>
      </c>
      <c r="B49" s="716" t="s">
        <v>97</v>
      </c>
      <c r="C49" s="723"/>
      <c r="D49" s="723"/>
      <c r="E49" s="723"/>
      <c r="F49" s="723"/>
      <c r="G49" s="723"/>
      <c r="H49" s="715"/>
      <c r="I49" s="715"/>
    </row>
    <row r="50" spans="1:9" ht="21.75" customHeight="1" x14ac:dyDescent="0.25">
      <c r="A50" s="715">
        <v>2</v>
      </c>
      <c r="B50" s="716" t="s">
        <v>98</v>
      </c>
      <c r="C50" s="723"/>
      <c r="D50" s="723"/>
      <c r="E50" s="723"/>
      <c r="F50" s="723"/>
      <c r="G50" s="723"/>
      <c r="H50" s="715"/>
      <c r="I50" s="715"/>
    </row>
    <row r="51" spans="1:9" ht="21.75" customHeight="1" x14ac:dyDescent="0.25">
      <c r="A51" s="715">
        <v>3</v>
      </c>
      <c r="B51" s="716" t="s">
        <v>99</v>
      </c>
      <c r="C51" s="723"/>
      <c r="D51" s="723"/>
      <c r="E51" s="723"/>
      <c r="F51" s="723"/>
      <c r="G51" s="723"/>
      <c r="H51" s="715"/>
      <c r="I51" s="715"/>
    </row>
    <row r="52" spans="1:9" ht="21.75" customHeight="1" x14ac:dyDescent="0.25">
      <c r="A52" s="715">
        <v>4</v>
      </c>
      <c r="B52" s="716" t="s">
        <v>100</v>
      </c>
      <c r="C52" s="723"/>
      <c r="D52" s="723"/>
      <c r="E52" s="723"/>
      <c r="F52" s="723"/>
      <c r="G52" s="723"/>
      <c r="H52" s="715"/>
      <c r="I52" s="715"/>
    </row>
    <row r="53" spans="1:9" ht="21.75" customHeight="1" x14ac:dyDescent="0.25">
      <c r="A53" s="715">
        <v>5</v>
      </c>
      <c r="B53" s="716" t="s">
        <v>76</v>
      </c>
      <c r="C53" s="723"/>
      <c r="D53" s="723"/>
      <c r="E53" s="723"/>
      <c r="F53" s="723"/>
      <c r="G53" s="723"/>
      <c r="H53" s="715"/>
      <c r="I53" s="715"/>
    </row>
    <row r="54" spans="1:9" ht="21.75" customHeight="1" x14ac:dyDescent="0.25">
      <c r="A54" s="715">
        <v>6</v>
      </c>
      <c r="B54" s="716" t="s">
        <v>101</v>
      </c>
      <c r="C54" s="723"/>
      <c r="D54" s="723"/>
      <c r="E54" s="723"/>
      <c r="F54" s="723"/>
      <c r="G54" s="723"/>
      <c r="H54" s="715"/>
      <c r="I54" s="715"/>
    </row>
    <row r="55" spans="1:9" ht="21.75" customHeight="1" x14ac:dyDescent="0.25">
      <c r="A55" s="706" t="s">
        <v>33</v>
      </c>
      <c r="B55" s="710" t="s">
        <v>102</v>
      </c>
      <c r="C55" s="720">
        <v>60000000</v>
      </c>
      <c r="D55" s="720">
        <f>C55</f>
        <v>60000000</v>
      </c>
      <c r="E55" s="720"/>
      <c r="F55" s="720"/>
      <c r="G55" s="720"/>
      <c r="H55" s="706"/>
      <c r="I55" s="706"/>
    </row>
  </sheetData>
  <mergeCells count="11">
    <mergeCell ref="E1:I1"/>
    <mergeCell ref="A6:A7"/>
    <mergeCell ref="B6:B7"/>
    <mergeCell ref="C6:D6"/>
    <mergeCell ref="E6:F6"/>
    <mergeCell ref="H6:I6"/>
    <mergeCell ref="G6:G7"/>
    <mergeCell ref="A3:I3"/>
    <mergeCell ref="A4:I4"/>
    <mergeCell ref="A5:I5"/>
    <mergeCell ref="A2:I2"/>
  </mergeCells>
  <pageMargins left="0.7" right="0.33" top="0.54" bottom="0.61" header="0.3" footer="0.3"/>
  <pageSetup paperSize="9" firstPageNumber="2" orientation="portrait" useFirstPageNumber="1" verticalDpi="0" r:id="rId1"/>
  <headerFooter>
    <oddFooter>&amp;C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1"/>
  <sheetViews>
    <sheetView view="pageBreakPreview" zoomScaleNormal="115" zoomScaleSheetLayoutView="100" workbookViewId="0">
      <selection activeCell="B16" sqref="B16"/>
    </sheetView>
  </sheetViews>
  <sheetFormatPr defaultColWidth="9" defaultRowHeight="15" x14ac:dyDescent="0.25"/>
  <cols>
    <col min="1" max="1" width="5.7109375" style="728" customWidth="1"/>
    <col min="2" max="2" width="45.7109375" style="728" customWidth="1"/>
    <col min="3" max="3" width="13.42578125" style="728" hidden="1" customWidth="1"/>
    <col min="4" max="4" width="19.28515625" style="728" customWidth="1"/>
    <col min="5" max="5" width="10.140625" style="728" customWidth="1"/>
    <col min="6" max="6" width="12.5703125" style="728" hidden="1" customWidth="1"/>
    <col min="7" max="7" width="9" style="728" hidden="1" customWidth="1"/>
    <col min="8" max="16384" width="9" style="728"/>
  </cols>
  <sheetData>
    <row r="1" spans="1:7" ht="42.75" customHeight="1" x14ac:dyDescent="0.25">
      <c r="B1" s="729"/>
      <c r="C1" s="729"/>
      <c r="D1" s="862" t="s">
        <v>413</v>
      </c>
      <c r="E1" s="862"/>
      <c r="F1" s="862"/>
      <c r="G1" s="862"/>
    </row>
    <row r="2" spans="1:7" ht="18.75" customHeight="1" x14ac:dyDescent="0.25">
      <c r="A2" s="863" t="s">
        <v>417</v>
      </c>
      <c r="B2" s="863"/>
      <c r="C2" s="863"/>
      <c r="D2" s="863"/>
      <c r="E2" s="863"/>
      <c r="F2" s="863"/>
      <c r="G2" s="863"/>
    </row>
    <row r="3" spans="1:7" ht="18.75" customHeight="1" x14ac:dyDescent="0.25">
      <c r="A3" s="859" t="s">
        <v>405</v>
      </c>
      <c r="B3" s="859"/>
      <c r="C3" s="859"/>
      <c r="D3" s="859"/>
      <c r="E3" s="859"/>
      <c r="F3" s="859"/>
      <c r="G3" s="859"/>
    </row>
    <row r="4" spans="1:7" ht="18.75" customHeight="1" x14ac:dyDescent="0.25">
      <c r="A4" s="860" t="str">
        <f>'16'!A4:I4</f>
        <v>(Kèm theo Nghị quyết số: 33 /NQ-HĐND ngày  19/12/2025 của HĐND xã Cao Minh)</v>
      </c>
      <c r="B4" s="860"/>
      <c r="C4" s="860"/>
      <c r="D4" s="860"/>
      <c r="E4" s="860"/>
      <c r="F4" s="860"/>
      <c r="G4" s="860"/>
    </row>
    <row r="5" spans="1:7" ht="18.75" customHeight="1" x14ac:dyDescent="0.25">
      <c r="A5" s="861" t="s">
        <v>228</v>
      </c>
      <c r="B5" s="861"/>
      <c r="C5" s="861"/>
      <c r="D5" s="861"/>
      <c r="E5" s="861"/>
      <c r="F5" s="861"/>
      <c r="G5" s="861"/>
    </row>
    <row r="6" spans="1:7" ht="17.25" customHeight="1" x14ac:dyDescent="0.25">
      <c r="A6" s="850" t="s">
        <v>0</v>
      </c>
      <c r="B6" s="850" t="s">
        <v>59</v>
      </c>
      <c r="C6" s="850" t="s">
        <v>372</v>
      </c>
      <c r="D6" s="850" t="s">
        <v>403</v>
      </c>
      <c r="E6" s="856" t="s">
        <v>264</v>
      </c>
      <c r="F6" s="850" t="s">
        <v>17</v>
      </c>
      <c r="G6" s="850"/>
    </row>
    <row r="7" spans="1:7" ht="12" customHeight="1" x14ac:dyDescent="0.25">
      <c r="A7" s="850"/>
      <c r="B7" s="850"/>
      <c r="C7" s="850"/>
      <c r="D7" s="850"/>
      <c r="E7" s="857"/>
      <c r="F7" s="706" t="s">
        <v>18</v>
      </c>
      <c r="G7" s="706" t="s">
        <v>19</v>
      </c>
    </row>
    <row r="8" spans="1:7" s="730" customFormat="1" x14ac:dyDescent="0.25">
      <c r="A8" s="707" t="s">
        <v>6</v>
      </c>
      <c r="B8" s="707" t="s">
        <v>7</v>
      </c>
      <c r="C8" s="707">
        <v>1</v>
      </c>
      <c r="D8" s="707">
        <v>1</v>
      </c>
      <c r="E8" s="707">
        <v>2</v>
      </c>
      <c r="F8" s="707" t="s">
        <v>20</v>
      </c>
      <c r="G8" s="707" t="s">
        <v>21</v>
      </c>
    </row>
    <row r="9" spans="1:7" ht="19.5" customHeight="1" x14ac:dyDescent="0.25">
      <c r="A9" s="706"/>
      <c r="B9" s="710" t="s">
        <v>37</v>
      </c>
      <c r="C9" s="720">
        <f>C10+C29+C101</f>
        <v>228566540870</v>
      </c>
      <c r="D9" s="720">
        <f>D10+D29+D101</f>
        <v>167953000000</v>
      </c>
      <c r="E9" s="720"/>
      <c r="F9" s="720">
        <f>D9-C9</f>
        <v>-60613540870</v>
      </c>
      <c r="G9" s="712">
        <f>D9/C9</f>
        <v>0.73481008795388525</v>
      </c>
    </row>
    <row r="10" spans="1:7" ht="19.5" customHeight="1" x14ac:dyDescent="0.25">
      <c r="A10" s="706" t="s">
        <v>6</v>
      </c>
      <c r="B10" s="710" t="s">
        <v>103</v>
      </c>
      <c r="C10" s="720">
        <f>C11+C21+C25+C26+C27+C28</f>
        <v>135875000000</v>
      </c>
      <c r="D10" s="720">
        <f t="shared" ref="D10" si="0">D11+D21+D25+D26+D27+D28</f>
        <v>108369000000</v>
      </c>
      <c r="E10" s="720"/>
      <c r="F10" s="720">
        <f>D10-C10</f>
        <v>-27506000000</v>
      </c>
      <c r="G10" s="712">
        <f>D10/C10</f>
        <v>0.79756393744250231</v>
      </c>
    </row>
    <row r="11" spans="1:7" ht="19.5" customHeight="1" x14ac:dyDescent="0.25">
      <c r="A11" s="706" t="s">
        <v>23</v>
      </c>
      <c r="B11" s="710" t="s">
        <v>120</v>
      </c>
      <c r="C11" s="731"/>
      <c r="D11" s="720">
        <f>D12</f>
        <v>2038000000</v>
      </c>
      <c r="E11" s="720"/>
      <c r="F11" s="731"/>
      <c r="G11" s="706"/>
    </row>
    <row r="12" spans="1:7" ht="19.5" customHeight="1" x14ac:dyDescent="0.25">
      <c r="A12" s="715">
        <v>1</v>
      </c>
      <c r="B12" s="716" t="s">
        <v>104</v>
      </c>
      <c r="C12" s="732"/>
      <c r="D12" s="723">
        <f>'15'!E21</f>
        <v>2038000000</v>
      </c>
      <c r="E12" s="723"/>
      <c r="F12" s="732"/>
      <c r="G12" s="715"/>
    </row>
    <row r="13" spans="1:7" ht="19.5" customHeight="1" x14ac:dyDescent="0.25">
      <c r="A13" s="715"/>
      <c r="B13" s="724" t="s">
        <v>105</v>
      </c>
      <c r="C13" s="732"/>
      <c r="D13" s="732"/>
      <c r="E13" s="732"/>
      <c r="F13" s="732"/>
      <c r="G13" s="715"/>
    </row>
    <row r="14" spans="1:7" ht="19.5" customHeight="1" x14ac:dyDescent="0.25">
      <c r="A14" s="715" t="s">
        <v>74</v>
      </c>
      <c r="B14" s="724" t="s">
        <v>106</v>
      </c>
      <c r="C14" s="732"/>
      <c r="D14" s="732"/>
      <c r="E14" s="732"/>
      <c r="F14" s="732"/>
      <c r="G14" s="715"/>
    </row>
    <row r="15" spans="1:7" ht="19.5" customHeight="1" x14ac:dyDescent="0.25">
      <c r="A15" s="715" t="s">
        <v>74</v>
      </c>
      <c r="B15" s="724" t="s">
        <v>107</v>
      </c>
      <c r="C15" s="732"/>
      <c r="D15" s="732"/>
      <c r="E15" s="732"/>
      <c r="F15" s="732"/>
      <c r="G15" s="715"/>
    </row>
    <row r="16" spans="1:7" ht="19.5" customHeight="1" x14ac:dyDescent="0.25">
      <c r="A16" s="715"/>
      <c r="B16" s="724" t="s">
        <v>108</v>
      </c>
      <c r="C16" s="732"/>
      <c r="D16" s="732"/>
      <c r="E16" s="732"/>
      <c r="F16" s="732"/>
      <c r="G16" s="715"/>
    </row>
    <row r="17" spans="1:7" ht="19.5" customHeight="1" x14ac:dyDescent="0.25">
      <c r="A17" s="715" t="s">
        <v>74</v>
      </c>
      <c r="B17" s="724" t="s">
        <v>109</v>
      </c>
      <c r="C17" s="732"/>
      <c r="D17" s="732"/>
      <c r="E17" s="732"/>
      <c r="F17" s="732"/>
      <c r="G17" s="715"/>
    </row>
    <row r="18" spans="1:7" ht="19.5" customHeight="1" x14ac:dyDescent="0.25">
      <c r="A18" s="715" t="s">
        <v>74</v>
      </c>
      <c r="B18" s="724" t="s">
        <v>110</v>
      </c>
      <c r="C18" s="732"/>
      <c r="D18" s="732"/>
      <c r="E18" s="732"/>
      <c r="F18" s="732"/>
      <c r="G18" s="715"/>
    </row>
    <row r="19" spans="1:7" ht="49.5" customHeight="1" x14ac:dyDescent="0.25">
      <c r="A19" s="715">
        <v>2</v>
      </c>
      <c r="B19" s="716" t="s">
        <v>111</v>
      </c>
      <c r="C19" s="732"/>
      <c r="D19" s="732"/>
      <c r="E19" s="732"/>
      <c r="F19" s="732"/>
      <c r="G19" s="715"/>
    </row>
    <row r="20" spans="1:7" ht="20.25" customHeight="1" x14ac:dyDescent="0.25">
      <c r="A20" s="715">
        <v>3</v>
      </c>
      <c r="B20" s="716" t="s">
        <v>112</v>
      </c>
      <c r="C20" s="732"/>
      <c r="D20" s="732"/>
      <c r="E20" s="732"/>
      <c r="F20" s="732"/>
      <c r="G20" s="715"/>
    </row>
    <row r="21" spans="1:7" ht="20.25" customHeight="1" x14ac:dyDescent="0.25">
      <c r="A21" s="706" t="s">
        <v>27</v>
      </c>
      <c r="B21" s="710" t="s">
        <v>40</v>
      </c>
      <c r="C21" s="720">
        <f>'14'!C21</f>
        <v>132984000000</v>
      </c>
      <c r="D21" s="720">
        <f>'34'!C18</f>
        <v>103638000000</v>
      </c>
      <c r="E21" s="720"/>
      <c r="F21" s="720">
        <f>D21-C21</f>
        <v>-29346000000</v>
      </c>
      <c r="G21" s="712">
        <f>D21/C21</f>
        <v>0.7793268363111352</v>
      </c>
    </row>
    <row r="22" spans="1:7" ht="20.25" customHeight="1" x14ac:dyDescent="0.25">
      <c r="A22" s="715"/>
      <c r="B22" s="724" t="s">
        <v>113</v>
      </c>
      <c r="C22" s="732"/>
      <c r="D22" s="732"/>
      <c r="E22" s="732"/>
      <c r="F22" s="732"/>
      <c r="G22" s="715"/>
    </row>
    <row r="23" spans="1:7" ht="20.25" customHeight="1" x14ac:dyDescent="0.25">
      <c r="A23" s="715">
        <v>1</v>
      </c>
      <c r="B23" s="724" t="s">
        <v>106</v>
      </c>
      <c r="C23" s="726">
        <f>'14'!C23</f>
        <v>92131000000</v>
      </c>
      <c r="D23" s="726">
        <f>'34'!C19</f>
        <v>71118000000</v>
      </c>
      <c r="E23" s="726"/>
      <c r="F23" s="733"/>
      <c r="G23" s="715"/>
    </row>
    <row r="24" spans="1:7" ht="20.25" customHeight="1" x14ac:dyDescent="0.25">
      <c r="A24" s="715">
        <v>2</v>
      </c>
      <c r="B24" s="724" t="s">
        <v>134</v>
      </c>
      <c r="C24" s="732"/>
      <c r="D24" s="726">
        <f>'34'!C21</f>
        <v>696000000</v>
      </c>
      <c r="E24" s="726"/>
      <c r="F24" s="733"/>
      <c r="G24" s="715"/>
    </row>
    <row r="25" spans="1:7" ht="20.25" customHeight="1" x14ac:dyDescent="0.25">
      <c r="A25" s="706" t="s">
        <v>31</v>
      </c>
      <c r="B25" s="710" t="s">
        <v>121</v>
      </c>
      <c r="C25" s="731"/>
      <c r="D25" s="731"/>
      <c r="E25" s="731"/>
      <c r="F25" s="731"/>
      <c r="G25" s="706"/>
    </row>
    <row r="26" spans="1:7" ht="20.25" customHeight="1" x14ac:dyDescent="0.25">
      <c r="A26" s="706" t="s">
        <v>33</v>
      </c>
      <c r="B26" s="710" t="s">
        <v>122</v>
      </c>
      <c r="C26" s="731"/>
      <c r="D26" s="731"/>
      <c r="E26" s="731"/>
      <c r="F26" s="731"/>
      <c r="G26" s="706"/>
    </row>
    <row r="27" spans="1:7" ht="20.25" customHeight="1" x14ac:dyDescent="0.25">
      <c r="A27" s="706" t="s">
        <v>35</v>
      </c>
      <c r="B27" s="710" t="s">
        <v>43</v>
      </c>
      <c r="C27" s="720">
        <f>'14'!C27</f>
        <v>2891000000</v>
      </c>
      <c r="D27" s="720">
        <f>'34'!C34</f>
        <v>2693000000</v>
      </c>
      <c r="E27" s="720"/>
      <c r="F27" s="720">
        <f>D27-C27</f>
        <v>-198000000</v>
      </c>
      <c r="G27" s="712">
        <f>D27/C27</f>
        <v>0.93151158768592179</v>
      </c>
    </row>
    <row r="28" spans="1:7" ht="20.25" customHeight="1" x14ac:dyDescent="0.25">
      <c r="A28" s="706" t="s">
        <v>115</v>
      </c>
      <c r="B28" s="710" t="s">
        <v>44</v>
      </c>
      <c r="C28" s="731"/>
      <c r="D28" s="731"/>
      <c r="E28" s="731"/>
      <c r="F28" s="731"/>
      <c r="G28" s="706"/>
    </row>
    <row r="29" spans="1:7" ht="20.25" customHeight="1" x14ac:dyDescent="0.25">
      <c r="A29" s="706" t="s">
        <v>7</v>
      </c>
      <c r="B29" s="710" t="s">
        <v>116</v>
      </c>
      <c r="C29" s="720">
        <f>C30+C40</f>
        <v>92691540870</v>
      </c>
      <c r="D29" s="720">
        <f t="shared" ref="D29" si="1">D30+D40</f>
        <v>59584000000</v>
      </c>
      <c r="E29" s="720"/>
      <c r="F29" s="720">
        <f>D29-C29</f>
        <v>-33107540870</v>
      </c>
      <c r="G29" s="712">
        <f>D29/C29</f>
        <v>0.64282025566460954</v>
      </c>
    </row>
    <row r="30" spans="1:7" ht="20.25" customHeight="1" x14ac:dyDescent="0.25">
      <c r="A30" s="706" t="s">
        <v>23</v>
      </c>
      <c r="B30" s="710" t="s">
        <v>46</v>
      </c>
      <c r="C30" s="720">
        <f>C31+C34+C37</f>
        <v>61984085960</v>
      </c>
      <c r="D30" s="720"/>
      <c r="E30" s="720"/>
      <c r="F30" s="720">
        <f>D30-C30</f>
        <v>-61984085960</v>
      </c>
      <c r="G30" s="712">
        <f>D30/C30</f>
        <v>0</v>
      </c>
    </row>
    <row r="31" spans="1:7" ht="33.75" hidden="1" customHeight="1" x14ac:dyDescent="0.25">
      <c r="A31" s="706">
        <v>1</v>
      </c>
      <c r="B31" s="710" t="s">
        <v>238</v>
      </c>
      <c r="C31" s="720">
        <f>C32+C33</f>
        <v>1684223544</v>
      </c>
      <c r="D31" s="720"/>
      <c r="E31" s="720"/>
      <c r="F31" s="720"/>
      <c r="G31" s="715"/>
    </row>
    <row r="32" spans="1:7" ht="18" hidden="1" customHeight="1" x14ac:dyDescent="0.25">
      <c r="A32" s="715"/>
      <c r="B32" s="716" t="s">
        <v>476</v>
      </c>
      <c r="C32" s="723">
        <f>'14'!C32</f>
        <v>786907944</v>
      </c>
      <c r="D32" s="732"/>
      <c r="E32" s="732"/>
      <c r="F32" s="732"/>
      <c r="G32" s="715"/>
    </row>
    <row r="33" spans="1:7" ht="18" hidden="1" customHeight="1" x14ac:dyDescent="0.25">
      <c r="A33" s="715"/>
      <c r="B33" s="716" t="s">
        <v>477</v>
      </c>
      <c r="C33" s="723">
        <f>'14'!C33</f>
        <v>897315600</v>
      </c>
      <c r="D33" s="732"/>
      <c r="E33" s="732"/>
      <c r="F33" s="732"/>
      <c r="G33" s="715"/>
    </row>
    <row r="34" spans="1:7" ht="31.5" hidden="1" customHeight="1" x14ac:dyDescent="0.25">
      <c r="A34" s="706">
        <v>2</v>
      </c>
      <c r="B34" s="710" t="s">
        <v>239</v>
      </c>
      <c r="C34" s="720">
        <f>C35+C36</f>
        <v>30209405102</v>
      </c>
      <c r="D34" s="720"/>
      <c r="E34" s="720"/>
      <c r="F34" s="720"/>
      <c r="G34" s="715"/>
    </row>
    <row r="35" spans="1:7" ht="20.25" hidden="1" customHeight="1" x14ac:dyDescent="0.25">
      <c r="A35" s="715"/>
      <c r="B35" s="716" t="s">
        <v>476</v>
      </c>
      <c r="C35" s="723">
        <f>'14'!C35</f>
        <v>26747827534</v>
      </c>
      <c r="D35" s="732"/>
      <c r="E35" s="732"/>
      <c r="F35" s="732"/>
      <c r="G35" s="715"/>
    </row>
    <row r="36" spans="1:7" ht="20.25" hidden="1" customHeight="1" x14ac:dyDescent="0.25">
      <c r="A36" s="715"/>
      <c r="B36" s="716" t="s">
        <v>477</v>
      </c>
      <c r="C36" s="723">
        <f>'14'!C36</f>
        <v>3461577568</v>
      </c>
      <c r="D36" s="732"/>
      <c r="E36" s="732"/>
      <c r="F36" s="732"/>
      <c r="G36" s="715"/>
    </row>
    <row r="37" spans="1:7" ht="33.75" hidden="1" customHeight="1" x14ac:dyDescent="0.25">
      <c r="A37" s="706">
        <v>3</v>
      </c>
      <c r="B37" s="710" t="s">
        <v>478</v>
      </c>
      <c r="C37" s="720">
        <f>C38+C39</f>
        <v>30090457314</v>
      </c>
      <c r="D37" s="720"/>
      <c r="E37" s="720"/>
      <c r="F37" s="720"/>
      <c r="G37" s="715"/>
    </row>
    <row r="38" spans="1:7" ht="21.75" hidden="1" customHeight="1" x14ac:dyDescent="0.25">
      <c r="A38" s="715"/>
      <c r="B38" s="716" t="s">
        <v>476</v>
      </c>
      <c r="C38" s="723">
        <f>'14'!C38</f>
        <v>19080004122</v>
      </c>
      <c r="D38" s="732"/>
      <c r="E38" s="732"/>
      <c r="F38" s="732"/>
      <c r="G38" s="715"/>
    </row>
    <row r="39" spans="1:7" ht="21.75" hidden="1" customHeight="1" x14ac:dyDescent="0.25">
      <c r="A39" s="715"/>
      <c r="B39" s="716" t="s">
        <v>477</v>
      </c>
      <c r="C39" s="723">
        <f>'14'!C39</f>
        <v>11010453192</v>
      </c>
      <c r="D39" s="732"/>
      <c r="E39" s="732"/>
      <c r="F39" s="732"/>
      <c r="G39" s="715"/>
    </row>
    <row r="40" spans="1:7" ht="20.25" customHeight="1" x14ac:dyDescent="0.25">
      <c r="A40" s="706" t="s">
        <v>27</v>
      </c>
      <c r="B40" s="710" t="s">
        <v>117</v>
      </c>
      <c r="C40" s="720">
        <f>C41+C43</f>
        <v>30707454910</v>
      </c>
      <c r="D40" s="720">
        <f t="shared" ref="D40" si="2">D41+D43</f>
        <v>59584000000</v>
      </c>
      <c r="E40" s="720"/>
      <c r="F40" s="720">
        <f>D40-C40</f>
        <v>28876545090</v>
      </c>
      <c r="G40" s="712">
        <f>D40/C40</f>
        <v>1.9403757222678928</v>
      </c>
    </row>
    <row r="41" spans="1:7" ht="19.5" customHeight="1" x14ac:dyDescent="0.25">
      <c r="A41" s="706" t="s">
        <v>494</v>
      </c>
      <c r="B41" s="710" t="s">
        <v>476</v>
      </c>
      <c r="C41" s="720">
        <f>C42</f>
        <v>7852719695</v>
      </c>
      <c r="D41" s="732"/>
      <c r="E41" s="732"/>
      <c r="F41" s="720">
        <f>D41-C41</f>
        <v>-7852719695</v>
      </c>
      <c r="G41" s="712">
        <f>D41/C41</f>
        <v>0</v>
      </c>
    </row>
    <row r="42" spans="1:7" ht="58.5" hidden="1" customHeight="1" x14ac:dyDescent="0.25">
      <c r="A42" s="715">
        <v>1</v>
      </c>
      <c r="B42" s="716" t="s">
        <v>496</v>
      </c>
      <c r="C42" s="723">
        <f>'BC VĐT 2025'!E51</f>
        <v>7852719695</v>
      </c>
      <c r="D42" s="732"/>
      <c r="E42" s="732"/>
      <c r="F42" s="732"/>
      <c r="G42" s="715"/>
    </row>
    <row r="43" spans="1:7" ht="21" customHeight="1" x14ac:dyDescent="0.25">
      <c r="A43" s="706" t="s">
        <v>495</v>
      </c>
      <c r="B43" s="710" t="s">
        <v>477</v>
      </c>
      <c r="C43" s="720">
        <f>SUM(C44:C59)</f>
        <v>22854735215</v>
      </c>
      <c r="D43" s="720">
        <f>D63+D68</f>
        <v>59584000000</v>
      </c>
      <c r="E43" s="720"/>
      <c r="F43" s="720">
        <f>D43-C43</f>
        <v>36729264785</v>
      </c>
      <c r="G43" s="712">
        <f>D43/C43</f>
        <v>2.6070746144936248</v>
      </c>
    </row>
    <row r="44" spans="1:7" ht="21" hidden="1" customHeight="1" x14ac:dyDescent="0.25">
      <c r="A44" s="715">
        <v>1</v>
      </c>
      <c r="B44" s="716" t="s">
        <v>479</v>
      </c>
      <c r="C44" s="723">
        <f>'14'!C44</f>
        <v>37000000</v>
      </c>
      <c r="D44" s="732"/>
      <c r="E44" s="732"/>
      <c r="F44" s="732"/>
      <c r="G44" s="715"/>
    </row>
    <row r="45" spans="1:7" ht="25.5" hidden="1" x14ac:dyDescent="0.25">
      <c r="A45" s="715">
        <v>2</v>
      </c>
      <c r="B45" s="716" t="s">
        <v>480</v>
      </c>
      <c r="C45" s="723">
        <f>'14'!C45</f>
        <v>150000000</v>
      </c>
      <c r="D45" s="732"/>
      <c r="E45" s="732"/>
      <c r="F45" s="732"/>
      <c r="G45" s="715"/>
    </row>
    <row r="46" spans="1:7" ht="38.25" hidden="1" x14ac:dyDescent="0.25">
      <c r="A46" s="715">
        <v>3</v>
      </c>
      <c r="B46" s="716" t="s">
        <v>481</v>
      </c>
      <c r="C46" s="723">
        <f>'14'!C46</f>
        <v>2934000000</v>
      </c>
      <c r="D46" s="732"/>
      <c r="E46" s="732"/>
      <c r="F46" s="732"/>
      <c r="G46" s="715"/>
    </row>
    <row r="47" spans="1:7" ht="51" hidden="1" x14ac:dyDescent="0.25">
      <c r="A47" s="715">
        <v>4</v>
      </c>
      <c r="B47" s="716" t="s">
        <v>482</v>
      </c>
      <c r="C47" s="723">
        <f>'14'!C47</f>
        <v>1000000000</v>
      </c>
      <c r="D47" s="732"/>
      <c r="E47" s="732"/>
      <c r="F47" s="732"/>
      <c r="G47" s="715"/>
    </row>
    <row r="48" spans="1:7" ht="51" hidden="1" x14ac:dyDescent="0.25">
      <c r="A48" s="715">
        <v>5</v>
      </c>
      <c r="B48" s="716" t="s">
        <v>483</v>
      </c>
      <c r="C48" s="723">
        <f>'14'!C48</f>
        <v>93600000</v>
      </c>
      <c r="D48" s="732"/>
      <c r="E48" s="732"/>
      <c r="F48" s="732"/>
      <c r="G48" s="715"/>
    </row>
    <row r="49" spans="1:7" ht="63.75" hidden="1" x14ac:dyDescent="0.25">
      <c r="A49" s="715">
        <v>6</v>
      </c>
      <c r="B49" s="716" t="s">
        <v>484</v>
      </c>
      <c r="C49" s="723">
        <f>'14'!C49</f>
        <v>5541476000</v>
      </c>
      <c r="D49" s="732"/>
      <c r="E49" s="732"/>
      <c r="F49" s="732"/>
      <c r="G49" s="715"/>
    </row>
    <row r="50" spans="1:7" ht="51" hidden="1" x14ac:dyDescent="0.25">
      <c r="A50" s="715">
        <v>7</v>
      </c>
      <c r="B50" s="716" t="s">
        <v>485</v>
      </c>
      <c r="C50" s="723">
        <f>'14'!C50</f>
        <v>1271900000</v>
      </c>
      <c r="D50" s="732"/>
      <c r="E50" s="732"/>
      <c r="F50" s="732"/>
      <c r="G50" s="715"/>
    </row>
    <row r="51" spans="1:7" ht="63.75" hidden="1" x14ac:dyDescent="0.25">
      <c r="A51" s="715">
        <v>8</v>
      </c>
      <c r="B51" s="716" t="s">
        <v>486</v>
      </c>
      <c r="C51" s="723">
        <f>'14'!C51</f>
        <v>899569125</v>
      </c>
      <c r="D51" s="732"/>
      <c r="E51" s="732"/>
      <c r="F51" s="732"/>
      <c r="G51" s="715"/>
    </row>
    <row r="52" spans="1:7" ht="63.75" hidden="1" x14ac:dyDescent="0.25">
      <c r="A52" s="715">
        <v>9</v>
      </c>
      <c r="B52" s="716" t="s">
        <v>487</v>
      </c>
      <c r="C52" s="723">
        <f>'14'!C52</f>
        <v>4681484438</v>
      </c>
      <c r="D52" s="732"/>
      <c r="E52" s="732"/>
      <c r="F52" s="732"/>
      <c r="G52" s="715"/>
    </row>
    <row r="53" spans="1:7" ht="76.5" hidden="1" x14ac:dyDescent="0.25">
      <c r="A53" s="715">
        <v>10</v>
      </c>
      <c r="B53" s="716" t="s">
        <v>488</v>
      </c>
      <c r="C53" s="723">
        <f>'14'!C53</f>
        <v>562214875</v>
      </c>
      <c r="D53" s="732"/>
      <c r="E53" s="732"/>
      <c r="F53" s="732"/>
      <c r="G53" s="715"/>
    </row>
    <row r="54" spans="1:7" ht="63.75" hidden="1" x14ac:dyDescent="0.25">
      <c r="A54" s="715">
        <v>11</v>
      </c>
      <c r="B54" s="716" t="s">
        <v>489</v>
      </c>
      <c r="C54" s="723">
        <f>'14'!C54</f>
        <v>407164000</v>
      </c>
      <c r="D54" s="732"/>
      <c r="E54" s="732"/>
      <c r="F54" s="732"/>
      <c r="G54" s="715"/>
    </row>
    <row r="55" spans="1:7" ht="38.25" hidden="1" x14ac:dyDescent="0.25">
      <c r="A55" s="715">
        <v>12</v>
      </c>
      <c r="B55" s="716" t="s">
        <v>490</v>
      </c>
      <c r="C55" s="723">
        <f>'14'!C55</f>
        <v>10000000</v>
      </c>
      <c r="D55" s="732"/>
      <c r="E55" s="732"/>
      <c r="F55" s="732"/>
      <c r="G55" s="715"/>
    </row>
    <row r="56" spans="1:7" ht="51" hidden="1" x14ac:dyDescent="0.25">
      <c r="A56" s="715">
        <v>13</v>
      </c>
      <c r="B56" s="716" t="s">
        <v>491</v>
      </c>
      <c r="C56" s="723">
        <f>'14'!C56</f>
        <v>1500000000</v>
      </c>
      <c r="D56" s="732"/>
      <c r="E56" s="732"/>
      <c r="F56" s="732"/>
      <c r="G56" s="715"/>
    </row>
    <row r="57" spans="1:7" ht="38.25" hidden="1" x14ac:dyDescent="0.25">
      <c r="A57" s="715">
        <v>14</v>
      </c>
      <c r="B57" s="716" t="s">
        <v>492</v>
      </c>
      <c r="C57" s="723">
        <f>'14'!C57</f>
        <v>14000000</v>
      </c>
      <c r="D57" s="732"/>
      <c r="E57" s="732"/>
      <c r="F57" s="732"/>
      <c r="G57" s="715"/>
    </row>
    <row r="58" spans="1:7" ht="51" hidden="1" x14ac:dyDescent="0.25">
      <c r="A58" s="715">
        <v>15</v>
      </c>
      <c r="B58" s="716" t="s">
        <v>493</v>
      </c>
      <c r="C58" s="723">
        <f>'14'!C58</f>
        <v>1760057500</v>
      </c>
      <c r="D58" s="732"/>
      <c r="E58" s="732"/>
      <c r="F58" s="732"/>
      <c r="G58" s="715"/>
    </row>
    <row r="59" spans="1:7" ht="25.5" hidden="1" x14ac:dyDescent="0.25">
      <c r="A59" s="715">
        <v>16</v>
      </c>
      <c r="B59" s="716" t="s">
        <v>497</v>
      </c>
      <c r="C59" s="723">
        <f>'14'!C59</f>
        <v>1992269277</v>
      </c>
      <c r="D59" s="732"/>
      <c r="E59" s="732"/>
      <c r="F59" s="732"/>
      <c r="G59" s="715"/>
    </row>
    <row r="60" spans="1:7" hidden="1" x14ac:dyDescent="0.25">
      <c r="A60" s="715" t="s">
        <v>287</v>
      </c>
      <c r="B60" s="716" t="s">
        <v>499</v>
      </c>
      <c r="C60" s="723">
        <f>'14'!C60</f>
        <v>234000000</v>
      </c>
      <c r="D60" s="732"/>
      <c r="E60" s="732"/>
      <c r="F60" s="732"/>
      <c r="G60" s="715"/>
    </row>
    <row r="61" spans="1:7" ht="25.5" hidden="1" x14ac:dyDescent="0.25">
      <c r="A61" s="715" t="s">
        <v>287</v>
      </c>
      <c r="B61" s="716" t="s">
        <v>500</v>
      </c>
      <c r="C61" s="723">
        <f>'14'!C61</f>
        <v>420000000</v>
      </c>
      <c r="D61" s="732"/>
      <c r="E61" s="732"/>
      <c r="F61" s="732"/>
      <c r="G61" s="715"/>
    </row>
    <row r="62" spans="1:7" ht="32.25" hidden="1" customHeight="1" x14ac:dyDescent="0.25">
      <c r="A62" s="715" t="s">
        <v>287</v>
      </c>
      <c r="B62" s="716" t="s">
        <v>501</v>
      </c>
      <c r="C62" s="723">
        <f>'14'!C62</f>
        <v>1338269277</v>
      </c>
      <c r="D62" s="732"/>
      <c r="E62" s="732"/>
      <c r="F62" s="732"/>
      <c r="G62" s="715"/>
    </row>
    <row r="63" spans="1:7" s="734" customFormat="1" ht="18" customHeight="1" x14ac:dyDescent="0.25">
      <c r="A63" s="706">
        <v>1</v>
      </c>
      <c r="B63" s="710" t="str">
        <f>'Biểu 01'!B33</f>
        <v>Nguồn ngân sách Trung ương</v>
      </c>
      <c r="C63" s="720"/>
      <c r="D63" s="720">
        <f>D64+D66</f>
        <v>871000000</v>
      </c>
      <c r="E63" s="720"/>
      <c r="F63" s="731"/>
      <c r="G63" s="706"/>
    </row>
    <row r="64" spans="1:7" s="739" customFormat="1" ht="18" customHeight="1" x14ac:dyDescent="0.25">
      <c r="A64" s="735" t="s">
        <v>727</v>
      </c>
      <c r="B64" s="736" t="str">
        <f>'Biểu 01'!B34</f>
        <v>Chi đảm bảo xã hội</v>
      </c>
      <c r="C64" s="737"/>
      <c r="D64" s="737">
        <f>'Biểu 01'!D34</f>
        <v>600000000</v>
      </c>
      <c r="E64" s="737"/>
      <c r="F64" s="738"/>
      <c r="G64" s="735"/>
    </row>
    <row r="65" spans="1:7" ht="30.75" customHeight="1" x14ac:dyDescent="0.25">
      <c r="A65" s="715" t="s">
        <v>287</v>
      </c>
      <c r="B65" s="716" t="str">
        <f>'Biểu 01'!B35</f>
        <v>Kinh phí thực hiện chính sách, chế độ ưu đãi người có công với cách mạng</v>
      </c>
      <c r="C65" s="723"/>
      <c r="D65" s="723">
        <f>'Biểu 01'!D35</f>
        <v>600000000</v>
      </c>
      <c r="E65" s="723"/>
      <c r="F65" s="732"/>
      <c r="G65" s="715"/>
    </row>
    <row r="66" spans="1:7" s="739" customFormat="1" ht="18.75" customHeight="1" x14ac:dyDescent="0.25">
      <c r="A66" s="735" t="s">
        <v>747</v>
      </c>
      <c r="B66" s="736" t="str">
        <f>'Biểu 01'!B36</f>
        <v>Chi sự nghiệp kinh tế</v>
      </c>
      <c r="C66" s="737"/>
      <c r="D66" s="737">
        <f>'Biểu 01'!D36</f>
        <v>271000000</v>
      </c>
      <c r="E66" s="737"/>
      <c r="F66" s="738"/>
      <c r="G66" s="735"/>
    </row>
    <row r="67" spans="1:7" ht="18.75" customHeight="1" x14ac:dyDescent="0.25">
      <c r="A67" s="715" t="s">
        <v>287</v>
      </c>
      <c r="B67" s="716" t="str">
        <f>'Biểu 01'!B37</f>
        <v>Kinh phí hỗ trợ địa phương sản xuất lúa</v>
      </c>
      <c r="C67" s="723"/>
      <c r="D67" s="723">
        <f>'Biểu 01'!D37</f>
        <v>271000000</v>
      </c>
      <c r="E67" s="723"/>
      <c r="F67" s="732"/>
      <c r="G67" s="715"/>
    </row>
    <row r="68" spans="1:7" s="734" customFormat="1" ht="18.75" customHeight="1" x14ac:dyDescent="0.25">
      <c r="A68" s="706">
        <v>2</v>
      </c>
      <c r="B68" s="710" t="str">
        <f>'Biểu 01'!B38</f>
        <v>Nguồn ngân sách Tỉnh</v>
      </c>
      <c r="C68" s="720"/>
      <c r="D68" s="720">
        <f>D69+D73+D77+D90+D96+D98</f>
        <v>58713000000</v>
      </c>
      <c r="E68" s="720"/>
      <c r="F68" s="731"/>
      <c r="G68" s="706"/>
    </row>
    <row r="69" spans="1:7" s="739" customFormat="1" ht="19.5" customHeight="1" x14ac:dyDescent="0.25">
      <c r="A69" s="735" t="s">
        <v>758</v>
      </c>
      <c r="B69" s="736" t="str">
        <f>'Biểu 01'!B39</f>
        <v>Chi sự nghiệp kinh tế</v>
      </c>
      <c r="C69" s="737"/>
      <c r="D69" s="737">
        <f>'Biểu 01'!D39</f>
        <v>2252000000</v>
      </c>
      <c r="E69" s="737"/>
      <c r="F69" s="738"/>
      <c r="G69" s="735"/>
    </row>
    <row r="70" spans="1:7" ht="21.75" customHeight="1" x14ac:dyDescent="0.25">
      <c r="A70" s="715" t="s">
        <v>287</v>
      </c>
      <c r="B70" s="716" t="str">
        <f>'Biểu 01'!B40</f>
        <v>Kinh phí hỗ trợ sản phẩm, dịch vụ công ích thủy lợi</v>
      </c>
      <c r="C70" s="723"/>
      <c r="D70" s="723">
        <f>'Biểu 01'!D40</f>
        <v>404000000</v>
      </c>
      <c r="E70" s="723"/>
      <c r="F70" s="732"/>
      <c r="G70" s="715"/>
    </row>
    <row r="71" spans="1:7" ht="21.75" customHeight="1" x14ac:dyDescent="0.25">
      <c r="A71" s="715" t="s">
        <v>287</v>
      </c>
      <c r="B71" s="716" t="str">
        <f>'Biểu 01'!B41</f>
        <v>Kinh phí hỗ trợ địa phương sản xuất lúa</v>
      </c>
      <c r="C71" s="723"/>
      <c r="D71" s="723">
        <f>'Biểu 01'!D41</f>
        <v>553000000</v>
      </c>
      <c r="E71" s="723"/>
      <c r="F71" s="732"/>
      <c r="G71" s="715"/>
    </row>
    <row r="72" spans="1:7" ht="30.75" customHeight="1" x14ac:dyDescent="0.25">
      <c r="A72" s="715" t="s">
        <v>287</v>
      </c>
      <c r="B72" s="716" t="str">
        <f>'Biểu 01'!B42</f>
        <v>Kinh phí tiền lương, phụ cấp và chi thường xuyên khác biên chế vắng mặt</v>
      </c>
      <c r="C72" s="723"/>
      <c r="D72" s="723">
        <f>'Biểu 01'!D42</f>
        <v>1295000000</v>
      </c>
      <c r="E72" s="723"/>
      <c r="F72" s="732"/>
      <c r="G72" s="715"/>
    </row>
    <row r="73" spans="1:7" s="739" customFormat="1" ht="20.25" customHeight="1" x14ac:dyDescent="0.25">
      <c r="A73" s="735" t="s">
        <v>772</v>
      </c>
      <c r="B73" s="736" t="str">
        <f>'Biểu 01'!B43</f>
        <v>Chi QL hành chính, Đảng, Đoàn thể</v>
      </c>
      <c r="C73" s="737"/>
      <c r="D73" s="737">
        <f>'Biểu 01'!D43</f>
        <v>6150000000</v>
      </c>
      <c r="E73" s="737"/>
      <c r="F73" s="738"/>
      <c r="G73" s="735"/>
    </row>
    <row r="74" spans="1:7" ht="20.25" customHeight="1" x14ac:dyDescent="0.25">
      <c r="A74" s="715" t="s">
        <v>287</v>
      </c>
      <c r="B74" s="716" t="str">
        <f>'Biểu 01'!B44</f>
        <v>Chính sách đối với người có uy tín trong đồng bào dân tộc thiểu số</v>
      </c>
      <c r="C74" s="723"/>
      <c r="D74" s="723">
        <f>'Biểu 01'!D44</f>
        <v>81000000</v>
      </c>
      <c r="E74" s="723"/>
      <c r="F74" s="732"/>
      <c r="G74" s="715"/>
    </row>
    <row r="75" spans="1:7" ht="33.75" customHeight="1" x14ac:dyDescent="0.25">
      <c r="A75" s="715" t="s">
        <v>287</v>
      </c>
      <c r="B75" s="716" t="str">
        <f>'Biểu 01'!B45</f>
        <v>Người hoạt động không chuyên trách ở xã, thôn; người trực tiếp tham gia công việc của xóm, tổ dân phố</v>
      </c>
      <c r="C75" s="723"/>
      <c r="D75" s="723">
        <f>'Biểu 01'!D45</f>
        <v>4264000000</v>
      </c>
      <c r="E75" s="723"/>
      <c r="F75" s="732"/>
      <c r="G75" s="715"/>
    </row>
    <row r="76" spans="1:7" ht="33.75" customHeight="1" x14ac:dyDescent="0.25">
      <c r="A76" s="715" t="s">
        <v>287</v>
      </c>
      <c r="B76" s="716" t="str">
        <f>'Biểu 01'!B46</f>
        <v>Kinh phí tiền lương, phụ cấp và chi thường xuyên khác biên chế vắng mặt</v>
      </c>
      <c r="C76" s="723"/>
      <c r="D76" s="723">
        <f>'Biểu 01'!D46</f>
        <v>1805000000</v>
      </c>
      <c r="E76" s="723"/>
      <c r="F76" s="732"/>
      <c r="G76" s="715"/>
    </row>
    <row r="77" spans="1:7" s="739" customFormat="1" ht="21.75" customHeight="1" x14ac:dyDescent="0.25">
      <c r="A77" s="735" t="s">
        <v>775</v>
      </c>
      <c r="B77" s="736" t="str">
        <f>'Biểu 01'!B47</f>
        <v>Chi sự nghiệp giáo dục &amp; ĐT, Dạy nghề</v>
      </c>
      <c r="C77" s="737"/>
      <c r="D77" s="737">
        <f>'Biểu 01'!D47</f>
        <v>35143000000</v>
      </c>
      <c r="E77" s="737"/>
      <c r="F77" s="738"/>
      <c r="G77" s="735"/>
    </row>
    <row r="78" spans="1:7" ht="33" customHeight="1" x14ac:dyDescent="0.25">
      <c r="A78" s="715" t="s">
        <v>287</v>
      </c>
      <c r="B78" s="716" t="str">
        <f>'Biểu 01'!B48</f>
        <v>Chính sách phát triển giáo dục mầm non theo Nghị định 105/2020/NĐ-CP</v>
      </c>
      <c r="C78" s="723"/>
      <c r="D78" s="723">
        <f>'Biểu 01'!D48</f>
        <v>1504000000</v>
      </c>
      <c r="E78" s="723"/>
      <c r="F78" s="732"/>
      <c r="G78" s="715"/>
    </row>
    <row r="79" spans="1:7" ht="33" customHeight="1" x14ac:dyDescent="0.25">
      <c r="A79" s="715" t="s">
        <v>287</v>
      </c>
      <c r="B79" s="716" t="str">
        <f>'Biểu 01'!B49</f>
        <v>Kinh phí hỗ trợ học sinh khuyết tật theo Thông tư liên tịch số 42/2013/TTLT-BGDĐT-BLĐTBXH-BTC</v>
      </c>
      <c r="C79" s="723"/>
      <c r="D79" s="723">
        <f>'Biểu 01'!D49</f>
        <v>2150000000</v>
      </c>
      <c r="E79" s="723"/>
      <c r="F79" s="732"/>
      <c r="G79" s="715"/>
    </row>
    <row r="80" spans="1:7" ht="21.75" customHeight="1" x14ac:dyDescent="0.25">
      <c r="A80" s="715" t="s">
        <v>287</v>
      </c>
      <c r="B80" s="716" t="str">
        <f>'Biểu 01'!B50</f>
        <v>Kinh phí hỗ trợ học sinh theo Nghị định số 66/2025/NĐ-CP</v>
      </c>
      <c r="C80" s="723"/>
      <c r="D80" s="723">
        <f>'Biểu 01'!D50</f>
        <v>18990000000</v>
      </c>
      <c r="E80" s="723"/>
      <c r="F80" s="732"/>
      <c r="G80" s="715"/>
    </row>
    <row r="81" spans="1:7" ht="31.5" customHeight="1" x14ac:dyDescent="0.25">
      <c r="A81" s="715" t="s">
        <v>287</v>
      </c>
      <c r="B81" s="716" t="str">
        <f>'Biểu 01'!B51</f>
        <v>Kinh phí thực hiện hỗ trợ chi phí học tập đối với sinh viên là người DTTS theo Quyết định số 66/2013/QĐ-TTg</v>
      </c>
      <c r="C81" s="723"/>
      <c r="D81" s="723">
        <f>'Biểu 01'!D51</f>
        <v>250000000</v>
      </c>
      <c r="E81" s="723"/>
      <c r="F81" s="732"/>
      <c r="G81" s="715"/>
    </row>
    <row r="82" spans="1:7" ht="31.5" customHeight="1" x14ac:dyDescent="0.25">
      <c r="A82" s="715" t="s">
        <v>287</v>
      </c>
      <c r="B82" s="716" t="str">
        <f>'Biểu 01'!B52</f>
        <v>Hỗ trợ chi phí học tập và miễn giảm học phí Nghị định số 238/2025/NĐ-CP</v>
      </c>
      <c r="C82" s="723"/>
      <c r="D82" s="723">
        <f>'Biểu 01'!D52</f>
        <v>7345000000</v>
      </c>
      <c r="E82" s="723"/>
      <c r="F82" s="732"/>
      <c r="G82" s="715"/>
    </row>
    <row r="83" spans="1:7" ht="31.5" customHeight="1" x14ac:dyDescent="0.25">
      <c r="A83" s="715" t="s">
        <v>287</v>
      </c>
      <c r="B83" s="716" t="str">
        <f>'Biểu 01'!B55</f>
        <v>Kinh phí hỗ trợ giáo viên dạy học sinh khuyết tật theo Nghị định số 28/2012/NĐ-CP</v>
      </c>
      <c r="C83" s="723"/>
      <c r="D83" s="723">
        <f>'Biểu 01'!D55</f>
        <v>1141000000</v>
      </c>
      <c r="E83" s="723"/>
      <c r="F83" s="732"/>
      <c r="G83" s="715"/>
    </row>
    <row r="84" spans="1:7" ht="48.75" customHeight="1" x14ac:dyDescent="0.25">
      <c r="A84" s="715" t="s">
        <v>287</v>
      </c>
      <c r="B84" s="716" t="str">
        <f>'Biểu 01'!B56</f>
        <v>Kinh phí hỗ trợ thực hiện việc dạy và học Tiếng Việt cho trẻ em là người dân tộc thiểu số trước khi vào lớp 1 theo Nghị quyết số 12/2025/NQ-HĐND</v>
      </c>
      <c r="C84" s="723"/>
      <c r="D84" s="723">
        <f>'Biểu 01'!D56</f>
        <v>201000000</v>
      </c>
      <c r="E84" s="723"/>
      <c r="F84" s="732"/>
      <c r="G84" s="715"/>
    </row>
    <row r="85" spans="1:7" ht="36" customHeight="1" x14ac:dyDescent="0.25">
      <c r="A85" s="715" t="s">
        <v>287</v>
      </c>
      <c r="B85" s="716" t="str">
        <f>'Biểu 01'!B57</f>
        <v>Kinh phí hỗ trợ tổ chúc nấu ăn đối với CS giáo dục mầm non theo Nghị quyết số 16/2025/NQ-HĐND ngày 29/8/2025</v>
      </c>
      <c r="C85" s="723"/>
      <c r="D85" s="723">
        <f>'Biểu 01'!D57</f>
        <v>1144000000</v>
      </c>
      <c r="E85" s="723"/>
      <c r="F85" s="732"/>
      <c r="G85" s="715"/>
    </row>
    <row r="86" spans="1:7" ht="36" customHeight="1" x14ac:dyDescent="0.25">
      <c r="A86" s="715" t="s">
        <v>287</v>
      </c>
      <c r="B86" s="716" t="str">
        <f>'Biểu 01'!B58</f>
        <v>Kinh phí hỗ trợ dạy tiếng anh theo Nghị quyết số 20/2025/NQ-HĐND ngày 29/8/2025</v>
      </c>
      <c r="C86" s="723"/>
      <c r="D86" s="723">
        <f>'Biểu 01'!D58</f>
        <v>185000000</v>
      </c>
      <c r="E86" s="723"/>
      <c r="F86" s="732"/>
      <c r="G86" s="715"/>
    </row>
    <row r="87" spans="1:7" ht="22.5" customHeight="1" x14ac:dyDescent="0.25">
      <c r="A87" s="715" t="s">
        <v>287</v>
      </c>
      <c r="B87" s="716" t="str">
        <f>'Biểu 01'!B59</f>
        <v>Trung tâm học tập cộng đồng</v>
      </c>
      <c r="C87" s="723"/>
      <c r="D87" s="723">
        <f>'Biểu 01'!D59</f>
        <v>35000000</v>
      </c>
      <c r="E87" s="723"/>
      <c r="F87" s="732"/>
      <c r="G87" s="715"/>
    </row>
    <row r="88" spans="1:7" ht="33.75" customHeight="1" x14ac:dyDescent="0.25">
      <c r="A88" s="715" t="s">
        <v>287</v>
      </c>
      <c r="B88" s="716" t="str">
        <f>'Biểu 01'!B60</f>
        <v>Kinh phí thực hiện xây dựng xã hội học tập theo Nghị quyết số 19/2022/NQ-HĐND của HĐND tỉnh</v>
      </c>
      <c r="C88" s="723"/>
      <c r="D88" s="723">
        <f>'Biểu 01'!D60</f>
        <v>310000000</v>
      </c>
      <c r="E88" s="723"/>
      <c r="F88" s="732"/>
      <c r="G88" s="715"/>
    </row>
    <row r="89" spans="1:7" ht="33.75" customHeight="1" x14ac:dyDescent="0.25">
      <c r="A89" s="715" t="s">
        <v>287</v>
      </c>
      <c r="B89" s="716" t="str">
        <f>'Biểu 01'!B61</f>
        <v>Kinh phí tiền lương, phụ cấp và chi thường xuyên khác biên chế vắng mặt và hợp đồng</v>
      </c>
      <c r="C89" s="723"/>
      <c r="D89" s="723">
        <f>'Biểu 01'!D61</f>
        <v>1888000000</v>
      </c>
      <c r="E89" s="723"/>
      <c r="F89" s="732"/>
      <c r="G89" s="715"/>
    </row>
    <row r="90" spans="1:7" s="739" customFormat="1" ht="19.5" customHeight="1" x14ac:dyDescent="0.25">
      <c r="A90" s="735" t="s">
        <v>909</v>
      </c>
      <c r="B90" s="736" t="str">
        <f>'Biểu 01'!B62</f>
        <v>Chi đảm bảo xã hội</v>
      </c>
      <c r="C90" s="737"/>
      <c r="D90" s="737">
        <f>'Biểu 01'!D62</f>
        <v>12210000000</v>
      </c>
      <c r="E90" s="737"/>
      <c r="F90" s="738"/>
      <c r="G90" s="735"/>
    </row>
    <row r="91" spans="1:7" ht="35.25" customHeight="1" x14ac:dyDescent="0.25">
      <c r="A91" s="715" t="s">
        <v>287</v>
      </c>
      <c r="B91" s="716" t="str">
        <f>'Biểu 01'!B63</f>
        <v>Chính sách bảo trợ xã hội theo Nghị định số 20/2021/NĐ-CP, Nghị định số 76/2024/NĐ-CP của Chính phủ</v>
      </c>
      <c r="C91" s="723"/>
      <c r="D91" s="723">
        <f>'Biểu 01'!D63</f>
        <v>8871000000</v>
      </c>
      <c r="E91" s="723"/>
      <c r="F91" s="732"/>
      <c r="G91" s="715"/>
    </row>
    <row r="92" spans="1:7" ht="22.5" customHeight="1" x14ac:dyDescent="0.25">
      <c r="A92" s="715" t="s">
        <v>287</v>
      </c>
      <c r="B92" s="716" t="str">
        <f>'Biểu 01'!B64</f>
        <v>Kinh phí hỗ trợ tiền điện cho hộ nghèo, hộ chính sách xã hội</v>
      </c>
      <c r="C92" s="723"/>
      <c r="D92" s="723">
        <f>'Biểu 01'!D64</f>
        <v>821000000</v>
      </c>
      <c r="E92" s="723"/>
      <c r="F92" s="732"/>
      <c r="G92" s="715"/>
    </row>
    <row r="93" spans="1:7" ht="48" customHeight="1" x14ac:dyDescent="0.25">
      <c r="A93" s="715" t="s">
        <v>287</v>
      </c>
      <c r="B93" s="716" t="str">
        <f>'Biểu 01'!B65</f>
        <v>Kinh phí phụ cấp hàng tháng đối với cán bộ hưu xã già yếu đã nghỉ việc theo NĐ số 75/2024/NĐ-CP và HD theo TT 08/2024/TT-BNV của Bộ Nội vụ</v>
      </c>
      <c r="C93" s="723"/>
      <c r="D93" s="723">
        <f>'Biểu 01'!D65</f>
        <v>168000000</v>
      </c>
      <c r="E93" s="723"/>
      <c r="F93" s="732"/>
      <c r="G93" s="715"/>
    </row>
    <row r="94" spans="1:7" ht="34.5" customHeight="1" x14ac:dyDescent="0.25">
      <c r="A94" s="715" t="s">
        <v>287</v>
      </c>
      <c r="B94" s="716" t="str">
        <f>'Biểu 01'!B66</f>
        <v>Kinh phí trợ cấp hưu trí xã hội theo Nghị định số 176/2025/NĐ-CP ngày 30/6/2025 của Chính phủ</v>
      </c>
      <c r="C94" s="723"/>
      <c r="D94" s="723">
        <f>'Biểu 01'!D66</f>
        <v>2280000000</v>
      </c>
      <c r="E94" s="723"/>
      <c r="F94" s="732"/>
      <c r="G94" s="715"/>
    </row>
    <row r="95" spans="1:7" ht="19.5" customHeight="1" x14ac:dyDescent="0.25">
      <c r="A95" s="715" t="s">
        <v>287</v>
      </c>
      <c r="B95" s="716" t="str">
        <f>'Biểu 01'!B67</f>
        <v>Kinh phí Chúc thọ mừng thọ</v>
      </c>
      <c r="C95" s="723"/>
      <c r="D95" s="723">
        <f>'Biểu 01'!D67</f>
        <v>70000000</v>
      </c>
      <c r="E95" s="723"/>
      <c r="F95" s="732"/>
      <c r="G95" s="715"/>
    </row>
    <row r="96" spans="1:7" s="739" customFormat="1" ht="21" customHeight="1" x14ac:dyDescent="0.25">
      <c r="A96" s="735" t="s">
        <v>910</v>
      </c>
      <c r="B96" s="736" t="str">
        <f>'Biểu 01'!B68</f>
        <v>Chi an ninh</v>
      </c>
      <c r="C96" s="737"/>
      <c r="D96" s="737">
        <f>'Biểu 01'!D68</f>
        <v>531000000</v>
      </c>
      <c r="E96" s="737"/>
      <c r="F96" s="738"/>
      <c r="G96" s="735"/>
    </row>
    <row r="97" spans="1:7" ht="21" customHeight="1" x14ac:dyDescent="0.25">
      <c r="A97" s="715" t="s">
        <v>287</v>
      </c>
      <c r="B97" s="716" t="str">
        <f>'Biểu 01'!B69</f>
        <v xml:space="preserve">Kinh phí cho lực lượng an ninh cơ sở </v>
      </c>
      <c r="C97" s="723"/>
      <c r="D97" s="723">
        <f>'Biểu 01'!D69</f>
        <v>531000000</v>
      </c>
      <c r="E97" s="723"/>
      <c r="F97" s="732"/>
      <c r="G97" s="715"/>
    </row>
    <row r="98" spans="1:7" s="739" customFormat="1" ht="21" customHeight="1" x14ac:dyDescent="0.25">
      <c r="A98" s="735" t="s">
        <v>911</v>
      </c>
      <c r="B98" s="736" t="str">
        <f>'Biểu 01'!B70</f>
        <v>Chi quốc phòng</v>
      </c>
      <c r="C98" s="737"/>
      <c r="D98" s="737">
        <f>'Biểu 01'!D70</f>
        <v>2427000000</v>
      </c>
      <c r="E98" s="737"/>
      <c r="F98" s="738"/>
      <c r="G98" s="735"/>
    </row>
    <row r="99" spans="1:7" ht="36.75" customHeight="1" x14ac:dyDescent="0.25">
      <c r="A99" s="715" t="s">
        <v>287</v>
      </c>
      <c r="B99" s="716" t="str">
        <f>'Biểu 01'!B71</f>
        <v xml:space="preserve">Chi phụ cấp cho các chức danh làm công tác quân sự địa phương, dân quân tự vệ ở cấp xã </v>
      </c>
      <c r="C99" s="723"/>
      <c r="D99" s="723">
        <f>'Biểu 01'!D71</f>
        <v>600000000</v>
      </c>
      <c r="E99" s="723"/>
      <c r="F99" s="732"/>
      <c r="G99" s="715"/>
    </row>
    <row r="100" spans="1:7" ht="24.75" customHeight="1" x14ac:dyDescent="0.25">
      <c r="A100" s="715" t="s">
        <v>287</v>
      </c>
      <c r="B100" s="716" t="str">
        <f>'Biểu 01'!B72</f>
        <v>Kinh phí thực hiện Nghị định 72/2020/NĐ-CP</v>
      </c>
      <c r="C100" s="723"/>
      <c r="D100" s="723">
        <f>'Biểu 01'!D72</f>
        <v>1827000000</v>
      </c>
      <c r="E100" s="723"/>
      <c r="F100" s="732"/>
      <c r="G100" s="715"/>
    </row>
    <row r="101" spans="1:7" ht="24" customHeight="1" x14ac:dyDescent="0.25">
      <c r="A101" s="706" t="s">
        <v>49</v>
      </c>
      <c r="B101" s="710" t="s">
        <v>118</v>
      </c>
      <c r="C101" s="732"/>
      <c r="D101" s="732"/>
      <c r="E101" s="732"/>
      <c r="F101" s="732"/>
      <c r="G101" s="715"/>
    </row>
  </sheetData>
  <mergeCells count="11">
    <mergeCell ref="A3:G3"/>
    <mergeCell ref="A4:G4"/>
    <mergeCell ref="A5:G5"/>
    <mergeCell ref="D1:G1"/>
    <mergeCell ref="A2:G2"/>
    <mergeCell ref="A6:A7"/>
    <mergeCell ref="B6:B7"/>
    <mergeCell ref="C6:C7"/>
    <mergeCell ref="D6:D7"/>
    <mergeCell ref="F6:G6"/>
    <mergeCell ref="E6:E7"/>
  </mergeCells>
  <pageMargins left="0.7" right="0.49" top="0.51" bottom="0.55000000000000004" header="0.3" footer="0.24"/>
  <pageSetup paperSize="9" firstPageNumber="4" orientation="portrait" useFirstPageNumber="1" verticalDpi="0" r:id="rId1"/>
  <headerFooter>
    <oddFooter>&amp;C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49"/>
  <sheetViews>
    <sheetView workbookViewId="0">
      <selection activeCell="A4" sqref="A4:G4"/>
    </sheetView>
  </sheetViews>
  <sheetFormatPr defaultColWidth="9" defaultRowHeight="15" x14ac:dyDescent="0.25"/>
  <cols>
    <col min="1" max="1" width="6.5703125" style="52" customWidth="1"/>
    <col min="2" max="2" width="28.140625" style="52" customWidth="1"/>
    <col min="3" max="3" width="16" style="52" customWidth="1"/>
    <col min="4" max="4" width="15.28515625" style="52" customWidth="1"/>
    <col min="5" max="5" width="11.28515625" style="52" customWidth="1"/>
    <col min="6" max="6" width="12.5703125" style="52" hidden="1" customWidth="1"/>
    <col min="7" max="7" width="8.5703125" style="52" hidden="1" customWidth="1"/>
    <col min="8" max="8" width="9" style="52"/>
    <col min="9" max="9" width="17.42578125" style="52" customWidth="1"/>
    <col min="10" max="10" width="12.42578125" style="52" customWidth="1"/>
    <col min="11" max="16384" width="9" style="52"/>
  </cols>
  <sheetData>
    <row r="1" spans="1:10" ht="40.5" customHeight="1" x14ac:dyDescent="0.25">
      <c r="B1" s="175"/>
      <c r="C1" s="175"/>
      <c r="D1" s="837" t="s">
        <v>414</v>
      </c>
      <c r="E1" s="837"/>
      <c r="F1" s="837"/>
      <c r="G1" s="837"/>
    </row>
    <row r="2" spans="1:10" s="75" customFormat="1" ht="19.5" customHeight="1" x14ac:dyDescent="0.25">
      <c r="A2" s="838" t="s">
        <v>151</v>
      </c>
      <c r="B2" s="838"/>
      <c r="C2" s="838"/>
      <c r="D2" s="838"/>
      <c r="E2" s="838"/>
      <c r="F2" s="838"/>
      <c r="G2" s="838"/>
    </row>
    <row r="3" spans="1:10" s="75" customFormat="1" ht="21.75" customHeight="1" x14ac:dyDescent="0.25">
      <c r="A3" s="834" t="s">
        <v>406</v>
      </c>
      <c r="B3" s="834"/>
      <c r="C3" s="834"/>
      <c r="D3" s="834"/>
      <c r="E3" s="834"/>
      <c r="F3" s="834"/>
      <c r="G3" s="834"/>
    </row>
    <row r="4" spans="1:10" s="75" customFormat="1" ht="20.25" customHeight="1" x14ac:dyDescent="0.25">
      <c r="A4" s="835" t="str">
        <f>'17'!A4:G4</f>
        <v>(Kèm theo Nghị quyết số: 33 /NQ-HĐND ngày  19/12/2025 của HĐND xã Cao Minh)</v>
      </c>
      <c r="B4" s="835"/>
      <c r="C4" s="835"/>
      <c r="D4" s="835"/>
      <c r="E4" s="835"/>
      <c r="F4" s="835"/>
      <c r="G4" s="835"/>
    </row>
    <row r="5" spans="1:10" s="75" customFormat="1" ht="19.5" customHeight="1" x14ac:dyDescent="0.25">
      <c r="A5" s="836" t="s">
        <v>228</v>
      </c>
      <c r="B5" s="836"/>
      <c r="C5" s="836"/>
      <c r="D5" s="836"/>
      <c r="E5" s="836"/>
      <c r="F5" s="836"/>
      <c r="G5" s="836"/>
    </row>
    <row r="6" spans="1:10" x14ac:dyDescent="0.25">
      <c r="A6" s="833" t="s">
        <v>0</v>
      </c>
      <c r="B6" s="833" t="s">
        <v>59</v>
      </c>
      <c r="C6" s="833" t="s">
        <v>372</v>
      </c>
      <c r="D6" s="833" t="s">
        <v>373</v>
      </c>
      <c r="E6" s="864" t="s">
        <v>264</v>
      </c>
      <c r="F6" s="833" t="s">
        <v>17</v>
      </c>
      <c r="G6" s="833"/>
    </row>
    <row r="7" spans="1:10" ht="33" customHeight="1" x14ac:dyDescent="0.25">
      <c r="A7" s="833"/>
      <c r="B7" s="833"/>
      <c r="C7" s="833"/>
      <c r="D7" s="833"/>
      <c r="E7" s="865"/>
      <c r="F7" s="151" t="s">
        <v>18</v>
      </c>
      <c r="G7" s="151" t="s">
        <v>19</v>
      </c>
    </row>
    <row r="8" spans="1:10" ht="18" customHeight="1" x14ac:dyDescent="0.25">
      <c r="A8" s="151" t="s">
        <v>6</v>
      </c>
      <c r="B8" s="151" t="s">
        <v>7</v>
      </c>
      <c r="C8" s="151">
        <v>1</v>
      </c>
      <c r="D8" s="151">
        <v>2</v>
      </c>
      <c r="E8" s="151"/>
      <c r="F8" s="151" t="s">
        <v>20</v>
      </c>
      <c r="G8" s="151" t="s">
        <v>21</v>
      </c>
    </row>
    <row r="9" spans="1:10" ht="22.5" customHeight="1" x14ac:dyDescent="0.25">
      <c r="A9" s="151"/>
      <c r="B9" s="152" t="s">
        <v>37</v>
      </c>
      <c r="C9" s="187">
        <f>C10+C11+C49</f>
        <v>228566540870</v>
      </c>
      <c r="D9" s="187">
        <f>D10+D11+D49</f>
        <v>224042054159</v>
      </c>
      <c r="E9" s="187"/>
      <c r="F9" s="187">
        <f>D9-C9</f>
        <v>-4524486711</v>
      </c>
      <c r="G9" s="195">
        <f>D9/C9</f>
        <v>0.98020494734803132</v>
      </c>
    </row>
    <row r="10" spans="1:10" ht="33.75" customHeight="1" x14ac:dyDescent="0.25">
      <c r="A10" s="151" t="s">
        <v>6</v>
      </c>
      <c r="B10" s="152" t="s">
        <v>135</v>
      </c>
      <c r="C10" s="187"/>
      <c r="D10" s="187"/>
      <c r="E10" s="187"/>
      <c r="F10" s="187"/>
      <c r="G10" s="151"/>
    </row>
    <row r="11" spans="1:10" ht="33.75" customHeight="1" x14ac:dyDescent="0.25">
      <c r="A11" s="151" t="s">
        <v>7</v>
      </c>
      <c r="B11" s="152" t="s">
        <v>156</v>
      </c>
      <c r="C11" s="187">
        <f>C12+C29+C45+C46+C47+C48</f>
        <v>228566540870</v>
      </c>
      <c r="D11" s="187">
        <f t="shared" ref="D11" si="0">D12+D29+D45+D46+D47+D48</f>
        <v>217719271434</v>
      </c>
      <c r="E11" s="187"/>
      <c r="F11" s="187">
        <f>D11-C11</f>
        <v>-10847269436</v>
      </c>
      <c r="G11" s="195">
        <f>D11/C11</f>
        <v>0.9525421813940409</v>
      </c>
      <c r="I11" s="279">
        <f>'14'!E9</f>
        <v>224042054159</v>
      </c>
      <c r="J11" s="279">
        <f>C11-I11</f>
        <v>4524486711</v>
      </c>
    </row>
    <row r="12" spans="1:10" ht="21" customHeight="1" x14ac:dyDescent="0.25">
      <c r="A12" s="151" t="s">
        <v>23</v>
      </c>
      <c r="B12" s="152" t="s">
        <v>136</v>
      </c>
      <c r="C12" s="187">
        <f>'BC VĐT 2025'!E11</f>
        <v>54467459295</v>
      </c>
      <c r="D12" s="187">
        <f>'BC VĐT 2025'!AF11</f>
        <v>47574013078</v>
      </c>
      <c r="E12" s="187"/>
      <c r="F12" s="187">
        <f>D12-C12</f>
        <v>-6893446217</v>
      </c>
      <c r="G12" s="195">
        <f>D12/C12</f>
        <v>0.87343918173850266</v>
      </c>
      <c r="I12" s="279">
        <f>I11-D9</f>
        <v>0</v>
      </c>
    </row>
    <row r="13" spans="1:10" ht="21" customHeight="1" x14ac:dyDescent="0.25">
      <c r="A13" s="153">
        <v>1</v>
      </c>
      <c r="B13" s="154" t="s">
        <v>137</v>
      </c>
      <c r="C13" s="189">
        <f>C12-C28</f>
        <v>54356448946</v>
      </c>
      <c r="D13" s="189">
        <f>D12-D28</f>
        <v>47574013078</v>
      </c>
      <c r="E13" s="189"/>
      <c r="F13" s="189"/>
      <c r="G13" s="153"/>
    </row>
    <row r="14" spans="1:10" ht="21" customHeight="1" x14ac:dyDescent="0.25">
      <c r="A14" s="153" t="s">
        <v>74</v>
      </c>
      <c r="B14" s="154" t="s">
        <v>106</v>
      </c>
      <c r="C14" s="189">
        <f>'BC VĐT 2025'!E17+'BC VĐT 2025'!E52</f>
        <v>14991829552</v>
      </c>
      <c r="D14" s="189">
        <f>'BC VĐT 2025'!AF17+'BC VĐT 2025'!AF52</f>
        <v>11849475059</v>
      </c>
      <c r="E14" s="189"/>
      <c r="F14" s="189"/>
      <c r="G14" s="153"/>
    </row>
    <row r="15" spans="1:10" ht="21" customHeight="1" x14ac:dyDescent="0.25">
      <c r="A15" s="153" t="s">
        <v>74</v>
      </c>
      <c r="B15" s="154" t="s">
        <v>114</v>
      </c>
      <c r="C15" s="189"/>
      <c r="D15" s="189"/>
      <c r="E15" s="189"/>
      <c r="F15" s="189"/>
      <c r="G15" s="153"/>
    </row>
    <row r="16" spans="1:10" ht="21" customHeight="1" x14ac:dyDescent="0.25">
      <c r="A16" s="153" t="s">
        <v>74</v>
      </c>
      <c r="B16" s="154" t="s">
        <v>138</v>
      </c>
      <c r="C16" s="189"/>
      <c r="D16" s="189"/>
      <c r="E16" s="189"/>
      <c r="F16" s="189"/>
      <c r="G16" s="153"/>
    </row>
    <row r="17" spans="1:7" ht="21" customHeight="1" x14ac:dyDescent="0.25">
      <c r="A17" s="153" t="s">
        <v>74</v>
      </c>
      <c r="B17" s="154" t="s">
        <v>139</v>
      </c>
      <c r="C17" s="189">
        <f>'BC VĐT 2025'!E53</f>
        <v>162996836</v>
      </c>
      <c r="D17" s="189">
        <f>'BC VĐT 2025'!AF53</f>
        <v>140707036</v>
      </c>
      <c r="E17" s="189"/>
      <c r="F17" s="189"/>
      <c r="G17" s="153"/>
    </row>
    <row r="18" spans="1:7" ht="21" customHeight="1" x14ac:dyDescent="0.25">
      <c r="A18" s="153" t="s">
        <v>74</v>
      </c>
      <c r="B18" s="154" t="s">
        <v>140</v>
      </c>
      <c r="C18" s="189"/>
      <c r="D18" s="189"/>
      <c r="E18" s="189"/>
      <c r="F18" s="189"/>
      <c r="G18" s="153"/>
    </row>
    <row r="19" spans="1:7" ht="21" customHeight="1" x14ac:dyDescent="0.25">
      <c r="A19" s="153" t="s">
        <v>74</v>
      </c>
      <c r="B19" s="154" t="s">
        <v>141</v>
      </c>
      <c r="C19" s="189">
        <f>'BC VĐT 2025'!E32+'BC VĐT 2025'!E35+'BC VĐT 2025'!E45</f>
        <v>201865861</v>
      </c>
      <c r="D19" s="189">
        <f>'BC VĐT 2025'!AF45+'BC VĐT 2025'!AF35+'BC VĐT 2025'!AF32</f>
        <v>135807688</v>
      </c>
      <c r="E19" s="189"/>
      <c r="F19" s="189"/>
      <c r="G19" s="153"/>
    </row>
    <row r="20" spans="1:7" ht="21" customHeight="1" x14ac:dyDescent="0.25">
      <c r="A20" s="153" t="s">
        <v>74</v>
      </c>
      <c r="B20" s="154" t="s">
        <v>142</v>
      </c>
      <c r="C20" s="189"/>
      <c r="D20" s="189"/>
      <c r="E20" s="189"/>
      <c r="F20" s="189"/>
      <c r="G20" s="153"/>
    </row>
    <row r="21" spans="1:7" ht="21" customHeight="1" x14ac:dyDescent="0.25">
      <c r="A21" s="153" t="s">
        <v>74</v>
      </c>
      <c r="B21" s="154" t="s">
        <v>143</v>
      </c>
      <c r="C21" s="189"/>
      <c r="D21" s="189"/>
      <c r="E21" s="189"/>
      <c r="F21" s="189"/>
      <c r="G21" s="153"/>
    </row>
    <row r="22" spans="1:7" ht="21" customHeight="1" x14ac:dyDescent="0.25">
      <c r="A22" s="153" t="s">
        <v>74</v>
      </c>
      <c r="B22" s="154" t="s">
        <v>144</v>
      </c>
      <c r="C22" s="189"/>
      <c r="D22" s="189"/>
      <c r="E22" s="189"/>
      <c r="F22" s="189"/>
      <c r="G22" s="153"/>
    </row>
    <row r="23" spans="1:7" ht="21" customHeight="1" x14ac:dyDescent="0.25">
      <c r="A23" s="153" t="s">
        <v>74</v>
      </c>
      <c r="B23" s="154" t="s">
        <v>145</v>
      </c>
      <c r="C23" s="189">
        <f>C12-C14-C17-C19-C25-C28</f>
        <v>28015856697</v>
      </c>
      <c r="D23" s="189">
        <f>D12-D14-D17-D19-D25-D28</f>
        <v>25036023295</v>
      </c>
      <c r="E23" s="189"/>
      <c r="F23" s="189"/>
      <c r="G23" s="153"/>
    </row>
    <row r="24" spans="1:7" ht="33" customHeight="1" x14ac:dyDescent="0.25">
      <c r="A24" s="153" t="s">
        <v>74</v>
      </c>
      <c r="B24" s="154" t="s">
        <v>146</v>
      </c>
      <c r="C24" s="189"/>
      <c r="D24" s="189"/>
      <c r="E24" s="189"/>
      <c r="F24" s="189"/>
      <c r="G24" s="153"/>
    </row>
    <row r="25" spans="1:7" ht="21.75" customHeight="1" x14ac:dyDescent="0.25">
      <c r="A25" s="153" t="s">
        <v>74</v>
      </c>
      <c r="B25" s="154" t="s">
        <v>147</v>
      </c>
      <c r="C25" s="189">
        <f>'BC VĐT 2025'!E21</f>
        <v>10983900000</v>
      </c>
      <c r="D25" s="189">
        <f>'BC VĐT 2025'!AF21</f>
        <v>10412000000</v>
      </c>
      <c r="E25" s="189"/>
      <c r="F25" s="189"/>
      <c r="G25" s="153"/>
    </row>
    <row r="26" spans="1:7" ht="21.75" customHeight="1" x14ac:dyDescent="0.25">
      <c r="A26" s="153" t="s">
        <v>74</v>
      </c>
      <c r="B26" s="154" t="s">
        <v>148</v>
      </c>
      <c r="C26" s="189"/>
      <c r="D26" s="189"/>
      <c r="E26" s="189"/>
      <c r="F26" s="189"/>
      <c r="G26" s="153"/>
    </row>
    <row r="27" spans="1:7" ht="71.25" customHeight="1" x14ac:dyDescent="0.25">
      <c r="A27" s="153">
        <v>2</v>
      </c>
      <c r="B27" s="154" t="s">
        <v>111</v>
      </c>
      <c r="C27" s="189"/>
      <c r="D27" s="189"/>
      <c r="E27" s="189"/>
      <c r="F27" s="189"/>
      <c r="G27" s="153"/>
    </row>
    <row r="28" spans="1:7" ht="20.25" customHeight="1" x14ac:dyDescent="0.25">
      <c r="A28" s="153">
        <v>3</v>
      </c>
      <c r="B28" s="154" t="s">
        <v>112</v>
      </c>
      <c r="C28" s="189">
        <f>'BC VĐT 2025'!E19+'BC VĐT 2025'!E42+'BC VĐT 2025'!E50</f>
        <v>111010349</v>
      </c>
      <c r="D28" s="189"/>
      <c r="E28" s="189"/>
      <c r="F28" s="189"/>
      <c r="G28" s="153"/>
    </row>
    <row r="29" spans="1:7" ht="20.25" customHeight="1" x14ac:dyDescent="0.25">
      <c r="A29" s="151" t="s">
        <v>27</v>
      </c>
      <c r="B29" s="152" t="s">
        <v>40</v>
      </c>
      <c r="C29" s="187">
        <f>SUM(C30:C44)</f>
        <v>171208081575</v>
      </c>
      <c r="D29" s="187">
        <f t="shared" ref="D29" si="1">SUM(D30:D44)</f>
        <v>170145258356</v>
      </c>
      <c r="E29" s="187"/>
      <c r="F29" s="187">
        <f>D29-C29</f>
        <v>-1062823219</v>
      </c>
      <c r="G29" s="195">
        <f>D29/C29</f>
        <v>0.99379221349119307</v>
      </c>
    </row>
    <row r="30" spans="1:7" ht="20.25" customHeight="1" x14ac:dyDescent="0.25">
      <c r="A30" s="153" t="s">
        <v>74</v>
      </c>
      <c r="B30" s="154" t="s">
        <v>106</v>
      </c>
      <c r="C30" s="189">
        <f>Chi!C17+I38+'14'!C60</f>
        <v>93738975000</v>
      </c>
      <c r="D30" s="189">
        <f>C30</f>
        <v>93738975000</v>
      </c>
      <c r="E30" s="189"/>
      <c r="F30" s="189">
        <f>D30-C30</f>
        <v>0</v>
      </c>
      <c r="G30" s="153"/>
    </row>
    <row r="31" spans="1:7" ht="20.25" customHeight="1" x14ac:dyDescent="0.25">
      <c r="A31" s="153" t="s">
        <v>74</v>
      </c>
      <c r="B31" s="154" t="s">
        <v>134</v>
      </c>
      <c r="C31" s="189"/>
      <c r="D31" s="189"/>
      <c r="E31" s="189"/>
      <c r="F31" s="189">
        <f t="shared" ref="F31:F44" si="2">D31-C31</f>
        <v>0</v>
      </c>
      <c r="G31" s="153"/>
    </row>
    <row r="32" spans="1:7" ht="20.25" customHeight="1" x14ac:dyDescent="0.25">
      <c r="A32" s="153" t="s">
        <v>74</v>
      </c>
      <c r="B32" s="154" t="s">
        <v>138</v>
      </c>
      <c r="C32" s="189">
        <f>Chi!C15</f>
        <v>1779000000</v>
      </c>
      <c r="D32" s="189">
        <f>Chi!G15+1000000000+86758749</f>
        <v>1603020679</v>
      </c>
      <c r="E32" s="189"/>
      <c r="F32" s="189">
        <f t="shared" si="2"/>
        <v>-175979321</v>
      </c>
      <c r="G32" s="153"/>
    </row>
    <row r="33" spans="1:10" ht="20.25" customHeight="1" x14ac:dyDescent="0.25">
      <c r="A33" s="153" t="s">
        <v>74</v>
      </c>
      <c r="B33" s="154" t="s">
        <v>139</v>
      </c>
      <c r="C33" s="189">
        <f>Chi!C16</f>
        <v>984000000</v>
      </c>
      <c r="D33" s="189">
        <f>C33+121770000</f>
        <v>1105770000</v>
      </c>
      <c r="E33" s="189"/>
      <c r="F33" s="189">
        <f t="shared" si="2"/>
        <v>121770000</v>
      </c>
      <c r="G33" s="153"/>
    </row>
    <row r="34" spans="1:10" ht="20.25" customHeight="1" x14ac:dyDescent="0.25">
      <c r="A34" s="153" t="s">
        <v>74</v>
      </c>
      <c r="B34" s="154" t="s">
        <v>140</v>
      </c>
      <c r="C34" s="189">
        <f>Chi!C19</f>
        <v>21481000</v>
      </c>
      <c r="D34" s="189">
        <f>C34</f>
        <v>21481000</v>
      </c>
      <c r="E34" s="189"/>
      <c r="F34" s="189">
        <f t="shared" si="2"/>
        <v>0</v>
      </c>
      <c r="G34" s="153"/>
    </row>
    <row r="35" spans="1:10" ht="20.25" customHeight="1" x14ac:dyDescent="0.25">
      <c r="A35" s="153" t="s">
        <v>74</v>
      </c>
      <c r="B35" s="154" t="s">
        <v>141</v>
      </c>
      <c r="C35" s="189">
        <f>Chi!C20</f>
        <v>542000000</v>
      </c>
      <c r="D35" s="189">
        <f>C35</f>
        <v>542000000</v>
      </c>
      <c r="E35" s="189"/>
      <c r="F35" s="189">
        <f t="shared" si="2"/>
        <v>0</v>
      </c>
      <c r="G35" s="153"/>
    </row>
    <row r="36" spans="1:10" ht="20.25" customHeight="1" x14ac:dyDescent="0.25">
      <c r="A36" s="153" t="s">
        <v>74</v>
      </c>
      <c r="B36" s="154" t="s">
        <v>142</v>
      </c>
      <c r="C36" s="189">
        <f>Chi!C21</f>
        <v>63000000</v>
      </c>
      <c r="D36" s="189">
        <f>C36</f>
        <v>63000000</v>
      </c>
      <c r="E36" s="189"/>
      <c r="F36" s="189">
        <f t="shared" si="2"/>
        <v>0</v>
      </c>
      <c r="G36" s="153"/>
    </row>
    <row r="37" spans="1:10" ht="20.25" customHeight="1" x14ac:dyDescent="0.25">
      <c r="A37" s="153" t="s">
        <v>74</v>
      </c>
      <c r="B37" s="154" t="s">
        <v>143</v>
      </c>
      <c r="C37" s="189">
        <f>Chi!C22</f>
        <v>100000000</v>
      </c>
      <c r="D37" s="189">
        <f>C37</f>
        <v>100000000</v>
      </c>
      <c r="E37" s="189"/>
      <c r="F37" s="189">
        <f t="shared" si="2"/>
        <v>0</v>
      </c>
      <c r="G37" s="153"/>
      <c r="I37" s="52" t="s">
        <v>515</v>
      </c>
    </row>
    <row r="38" spans="1:10" ht="20.25" customHeight="1" x14ac:dyDescent="0.25">
      <c r="A38" s="153" t="s">
        <v>74</v>
      </c>
      <c r="B38" s="154" t="s">
        <v>144</v>
      </c>
      <c r="C38" s="189">
        <f>Chi!C23</f>
        <v>267000000</v>
      </c>
      <c r="D38" s="189">
        <f>Chi!G23</f>
        <v>115000000</v>
      </c>
      <c r="E38" s="189"/>
      <c r="F38" s="189">
        <f t="shared" si="2"/>
        <v>-152000000</v>
      </c>
      <c r="G38" s="153"/>
      <c r="I38" s="52">
        <v>884000000</v>
      </c>
      <c r="J38" s="52">
        <v>2172346360</v>
      </c>
    </row>
    <row r="39" spans="1:10" ht="20.25" customHeight="1" x14ac:dyDescent="0.25">
      <c r="A39" s="153" t="s">
        <v>74</v>
      </c>
      <c r="B39" s="154" t="s">
        <v>145</v>
      </c>
      <c r="C39" s="189">
        <f>Chi!C24+J38</f>
        <v>17851654360</v>
      </c>
      <c r="D39" s="189">
        <f>Chi!G24+'BC VSN 2025'!U9-'BC VSN 2025'!L9+2000000000+1800000000-11810000</f>
        <v>18784040462</v>
      </c>
      <c r="E39" s="189"/>
      <c r="F39" s="189">
        <f t="shared" si="2"/>
        <v>932386102</v>
      </c>
      <c r="G39" s="153"/>
      <c r="I39" s="52" t="s">
        <v>516</v>
      </c>
      <c r="J39" s="52" t="s">
        <v>517</v>
      </c>
    </row>
    <row r="40" spans="1:10" ht="32.25" customHeight="1" x14ac:dyDescent="0.25">
      <c r="A40" s="153" t="s">
        <v>74</v>
      </c>
      <c r="B40" s="154" t="s">
        <v>146</v>
      </c>
      <c r="C40" s="189">
        <f>Chi!C25+'14'!C62</f>
        <v>45652071215</v>
      </c>
      <c r="D40" s="189">
        <f>C40</f>
        <v>45652071215</v>
      </c>
      <c r="E40" s="189"/>
      <c r="F40" s="189">
        <f t="shared" si="2"/>
        <v>0</v>
      </c>
      <c r="G40" s="153"/>
    </row>
    <row r="41" spans="1:10" ht="20.25" customHeight="1" x14ac:dyDescent="0.25">
      <c r="A41" s="153" t="s">
        <v>74</v>
      </c>
      <c r="B41" s="154" t="s">
        <v>147</v>
      </c>
      <c r="C41" s="189">
        <f>Chi!C26+'14'!C61</f>
        <v>9083900000</v>
      </c>
      <c r="D41" s="189">
        <f>C41-1050000000</f>
        <v>8033900000</v>
      </c>
      <c r="E41" s="189"/>
      <c r="F41" s="189">
        <f t="shared" si="2"/>
        <v>-1050000000</v>
      </c>
      <c r="G41" s="153"/>
    </row>
    <row r="42" spans="1:10" ht="20.25" customHeight="1" x14ac:dyDescent="0.25">
      <c r="A42" s="153" t="s">
        <v>74</v>
      </c>
      <c r="B42" s="154" t="s">
        <v>149</v>
      </c>
      <c r="C42" s="189">
        <f>Chi!C27</f>
        <v>386000000</v>
      </c>
      <c r="D42" s="189">
        <f>C42</f>
        <v>386000000</v>
      </c>
      <c r="E42" s="189"/>
      <c r="F42" s="189">
        <f>D42-C42</f>
        <v>0</v>
      </c>
      <c r="G42" s="153"/>
    </row>
    <row r="43" spans="1:10" ht="47.25" customHeight="1" x14ac:dyDescent="0.25">
      <c r="A43" s="153" t="s">
        <v>74</v>
      </c>
      <c r="B43" s="154" t="str">
        <f>Chi!B28</f>
        <v>Tiết kiệm 10% chi thường xuyên 7 tháng cuối năm và dự toán năm 2024 so với năm 2025</v>
      </c>
      <c r="C43" s="189">
        <f>Chi!C28</f>
        <v>738000000</v>
      </c>
      <c r="D43" s="189"/>
      <c r="E43" s="189"/>
      <c r="F43" s="189">
        <f t="shared" si="2"/>
        <v>-738000000</v>
      </c>
      <c r="G43" s="153"/>
    </row>
    <row r="44" spans="1:10" ht="47.25" customHeight="1" x14ac:dyDescent="0.25">
      <c r="A44" s="153" t="s">
        <v>74</v>
      </c>
      <c r="B44" s="154" t="str">
        <f>Chi!B29</f>
        <v>Tiết kiệm 10% chi thường xuyên 7 tháng cuối năm và dự toán năm 2024 so với năm 2025 (tỉnh xuống xã)</v>
      </c>
      <c r="C44" s="189">
        <f>Chi!C29</f>
        <v>1000000</v>
      </c>
      <c r="D44" s="189"/>
      <c r="E44" s="189"/>
      <c r="F44" s="189">
        <f t="shared" si="2"/>
        <v>-1000000</v>
      </c>
      <c r="G44" s="153"/>
    </row>
    <row r="45" spans="1:10" ht="34.5" customHeight="1" x14ac:dyDescent="0.25">
      <c r="A45" s="151" t="s">
        <v>31</v>
      </c>
      <c r="B45" s="152" t="s">
        <v>121</v>
      </c>
      <c r="C45" s="187"/>
      <c r="D45" s="187"/>
      <c r="E45" s="187"/>
      <c r="F45" s="187"/>
      <c r="G45" s="151"/>
    </row>
    <row r="46" spans="1:10" ht="19.5" customHeight="1" x14ac:dyDescent="0.25">
      <c r="A46" s="151" t="s">
        <v>33</v>
      </c>
      <c r="B46" s="152" t="s">
        <v>122</v>
      </c>
      <c r="C46" s="187"/>
      <c r="D46" s="187"/>
      <c r="E46" s="187"/>
      <c r="F46" s="187"/>
      <c r="G46" s="151"/>
    </row>
    <row r="47" spans="1:10" ht="19.5" customHeight="1" x14ac:dyDescent="0.25">
      <c r="A47" s="151" t="s">
        <v>35</v>
      </c>
      <c r="B47" s="152" t="s">
        <v>43</v>
      </c>
      <c r="C47" s="187">
        <f>Chi!C30</f>
        <v>2891000000</v>
      </c>
      <c r="D47" s="187"/>
      <c r="E47" s="187"/>
      <c r="F47" s="187">
        <f>D47-C47</f>
        <v>-2891000000</v>
      </c>
      <c r="G47" s="151"/>
    </row>
    <row r="48" spans="1:10" ht="19.5" customHeight="1" x14ac:dyDescent="0.25">
      <c r="A48" s="151" t="s">
        <v>115</v>
      </c>
      <c r="B48" s="152" t="s">
        <v>44</v>
      </c>
      <c r="C48" s="187"/>
      <c r="D48" s="187"/>
      <c r="E48" s="187"/>
      <c r="F48" s="187"/>
      <c r="G48" s="151"/>
    </row>
    <row r="49" spans="1:7" ht="33.75" customHeight="1" x14ac:dyDescent="0.25">
      <c r="A49" s="151" t="s">
        <v>49</v>
      </c>
      <c r="B49" s="152" t="s">
        <v>118</v>
      </c>
      <c r="C49" s="187"/>
      <c r="D49" s="187">
        <f>'14'!E64</f>
        <v>6322782725</v>
      </c>
      <c r="E49" s="187"/>
      <c r="F49" s="187">
        <f>D49-C49</f>
        <v>6322782725</v>
      </c>
      <c r="G49" s="151"/>
    </row>
  </sheetData>
  <mergeCells count="11">
    <mergeCell ref="A3:G3"/>
    <mergeCell ref="A4:G4"/>
    <mergeCell ref="A5:G5"/>
    <mergeCell ref="D1:G1"/>
    <mergeCell ref="A2:G2"/>
    <mergeCell ref="A6:A7"/>
    <mergeCell ref="B6:B7"/>
    <mergeCell ref="C6:C7"/>
    <mergeCell ref="D6:D7"/>
    <mergeCell ref="F6:G6"/>
    <mergeCell ref="E6:E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selection activeCell="D9" sqref="D9:D23"/>
    </sheetView>
  </sheetViews>
  <sheetFormatPr defaultRowHeight="15" x14ac:dyDescent="0.25"/>
  <sheetData>
    <row r="1" spans="1:12" x14ac:dyDescent="0.25">
      <c r="A1" s="282" t="s">
        <v>503</v>
      </c>
    </row>
    <row r="2" spans="1:12" x14ac:dyDescent="0.25">
      <c r="A2" s="283" t="s">
        <v>504</v>
      </c>
    </row>
    <row r="3" spans="1:12" x14ac:dyDescent="0.25">
      <c r="A3" s="283" t="s">
        <v>505</v>
      </c>
    </row>
    <row r="4" spans="1:12" ht="15.75" thickBot="1" x14ac:dyDescent="0.3">
      <c r="A4" s="284" t="s">
        <v>506</v>
      </c>
    </row>
    <row r="5" spans="1:12" ht="15.75" thickBot="1" x14ac:dyDescent="0.3">
      <c r="A5" s="869" t="s">
        <v>0</v>
      </c>
      <c r="B5" s="869" t="s">
        <v>1</v>
      </c>
      <c r="C5" s="869" t="s">
        <v>507</v>
      </c>
      <c r="D5" s="872" t="s">
        <v>508</v>
      </c>
      <c r="E5" s="873"/>
      <c r="F5" s="873"/>
      <c r="G5" s="874"/>
      <c r="H5" s="872" t="s">
        <v>509</v>
      </c>
      <c r="I5" s="873"/>
      <c r="J5" s="873"/>
      <c r="K5" s="874"/>
      <c r="L5" s="869" t="s">
        <v>510</v>
      </c>
    </row>
    <row r="6" spans="1:12" ht="25.5" customHeight="1" thickBot="1" x14ac:dyDescent="0.3">
      <c r="A6" s="871"/>
      <c r="B6" s="871"/>
      <c r="C6" s="871"/>
      <c r="D6" s="872" t="s">
        <v>2</v>
      </c>
      <c r="E6" s="874"/>
      <c r="F6" s="869" t="s">
        <v>3</v>
      </c>
      <c r="G6" s="869" t="s">
        <v>4</v>
      </c>
      <c r="H6" s="872" t="s">
        <v>2</v>
      </c>
      <c r="I6" s="874"/>
      <c r="J6" s="869" t="s">
        <v>3</v>
      </c>
      <c r="K6" s="869" t="s">
        <v>4</v>
      </c>
      <c r="L6" s="871"/>
    </row>
    <row r="7" spans="1:12" ht="64.5" thickBot="1" x14ac:dyDescent="0.3">
      <c r="A7" s="870"/>
      <c r="B7" s="870"/>
      <c r="C7" s="870"/>
      <c r="D7" s="285" t="s">
        <v>5</v>
      </c>
      <c r="E7" s="285" t="s">
        <v>511</v>
      </c>
      <c r="F7" s="870"/>
      <c r="G7" s="870"/>
      <c r="H7" s="285" t="s">
        <v>5</v>
      </c>
      <c r="I7" s="285" t="s">
        <v>511</v>
      </c>
      <c r="J7" s="870"/>
      <c r="K7" s="870"/>
      <c r="L7" s="870"/>
    </row>
    <row r="8" spans="1:12" ht="26.25" thickBot="1" x14ac:dyDescent="0.3">
      <c r="A8" s="286" t="s">
        <v>6</v>
      </c>
      <c r="B8" s="285" t="s">
        <v>7</v>
      </c>
      <c r="C8" s="285">
        <v>1</v>
      </c>
      <c r="D8" s="285">
        <v>2</v>
      </c>
      <c r="E8" s="285">
        <v>3</v>
      </c>
      <c r="F8" s="285">
        <v>4</v>
      </c>
      <c r="G8" s="285" t="s">
        <v>512</v>
      </c>
      <c r="H8" s="285">
        <v>6</v>
      </c>
      <c r="I8" s="285">
        <v>7</v>
      </c>
      <c r="J8" s="285">
        <v>8</v>
      </c>
      <c r="K8" s="285" t="s">
        <v>513</v>
      </c>
      <c r="L8" s="285" t="s">
        <v>514</v>
      </c>
    </row>
    <row r="9" spans="1:12" x14ac:dyDescent="0.25">
      <c r="A9" s="287">
        <v>1</v>
      </c>
      <c r="B9" s="289" t="s">
        <v>12</v>
      </c>
      <c r="C9" s="866"/>
      <c r="D9" s="866"/>
      <c r="E9" s="866"/>
      <c r="F9" s="866"/>
      <c r="G9" s="866"/>
      <c r="H9" s="866"/>
      <c r="I9" s="866"/>
      <c r="J9" s="866"/>
      <c r="K9" s="866"/>
      <c r="L9" s="866"/>
    </row>
    <row r="10" spans="1:12" x14ac:dyDescent="0.25">
      <c r="A10" s="287">
        <v>2</v>
      </c>
      <c r="B10" s="289" t="s">
        <v>13</v>
      </c>
      <c r="C10" s="867"/>
      <c r="D10" s="867"/>
      <c r="E10" s="867"/>
      <c r="F10" s="867"/>
      <c r="G10" s="867"/>
      <c r="H10" s="867"/>
      <c r="I10" s="867"/>
      <c r="J10" s="867"/>
      <c r="K10" s="867"/>
      <c r="L10" s="867"/>
    </row>
    <row r="11" spans="1:12" x14ac:dyDescent="0.25">
      <c r="A11" s="287">
        <v>3</v>
      </c>
      <c r="B11" s="289" t="s">
        <v>14</v>
      </c>
      <c r="C11" s="867"/>
      <c r="D11" s="867"/>
      <c r="E11" s="867"/>
      <c r="F11" s="867"/>
      <c r="G11" s="867"/>
      <c r="H11" s="867"/>
      <c r="I11" s="867"/>
      <c r="J11" s="867"/>
      <c r="K11" s="867"/>
      <c r="L11" s="867"/>
    </row>
    <row r="12" spans="1:12" x14ac:dyDescent="0.25">
      <c r="A12" s="287">
        <v>4</v>
      </c>
      <c r="B12" s="289" t="s">
        <v>15</v>
      </c>
      <c r="C12" s="867"/>
      <c r="D12" s="867"/>
      <c r="E12" s="867"/>
      <c r="F12" s="867"/>
      <c r="G12" s="867"/>
      <c r="H12" s="867"/>
      <c r="I12" s="867"/>
      <c r="J12" s="867"/>
      <c r="K12" s="867"/>
      <c r="L12" s="867"/>
    </row>
    <row r="13" spans="1:12" x14ac:dyDescent="0.25">
      <c r="A13" s="287">
        <v>5</v>
      </c>
      <c r="B13" s="290"/>
      <c r="C13" s="867"/>
      <c r="D13" s="867"/>
      <c r="E13" s="867"/>
      <c r="F13" s="867"/>
      <c r="G13" s="867"/>
      <c r="H13" s="867"/>
      <c r="I13" s="867"/>
      <c r="J13" s="867"/>
      <c r="K13" s="867"/>
      <c r="L13" s="867"/>
    </row>
    <row r="14" spans="1:12" x14ac:dyDescent="0.25">
      <c r="A14" s="287">
        <v>6</v>
      </c>
      <c r="B14" s="290"/>
      <c r="C14" s="867"/>
      <c r="D14" s="867"/>
      <c r="E14" s="867"/>
      <c r="F14" s="867"/>
      <c r="G14" s="867"/>
      <c r="H14" s="867"/>
      <c r="I14" s="867"/>
      <c r="J14" s="867"/>
      <c r="K14" s="867"/>
      <c r="L14" s="867"/>
    </row>
    <row r="15" spans="1:12" x14ac:dyDescent="0.25">
      <c r="A15" s="287">
        <v>7</v>
      </c>
      <c r="B15" s="290"/>
      <c r="C15" s="867"/>
      <c r="D15" s="867"/>
      <c r="E15" s="867"/>
      <c r="F15" s="867"/>
      <c r="G15" s="867"/>
      <c r="H15" s="867"/>
      <c r="I15" s="867"/>
      <c r="J15" s="867"/>
      <c r="K15" s="867"/>
      <c r="L15" s="867"/>
    </row>
    <row r="16" spans="1:12" x14ac:dyDescent="0.25">
      <c r="A16" s="287">
        <v>8</v>
      </c>
      <c r="B16" s="290"/>
      <c r="C16" s="867"/>
      <c r="D16" s="867"/>
      <c r="E16" s="867"/>
      <c r="F16" s="867"/>
      <c r="G16" s="867"/>
      <c r="H16" s="867"/>
      <c r="I16" s="867"/>
      <c r="J16" s="867"/>
      <c r="K16" s="867"/>
      <c r="L16" s="867"/>
    </row>
    <row r="17" spans="1:12" x14ac:dyDescent="0.25">
      <c r="A17" s="287">
        <v>9</v>
      </c>
      <c r="B17" s="290"/>
      <c r="C17" s="867"/>
      <c r="D17" s="867"/>
      <c r="E17" s="867"/>
      <c r="F17" s="867"/>
      <c r="G17" s="867"/>
      <c r="H17" s="867"/>
      <c r="I17" s="867"/>
      <c r="J17" s="867"/>
      <c r="K17" s="867"/>
      <c r="L17" s="867"/>
    </row>
    <row r="18" spans="1:12" x14ac:dyDescent="0.25">
      <c r="A18" s="287">
        <v>10</v>
      </c>
      <c r="B18" s="290"/>
      <c r="C18" s="867"/>
      <c r="D18" s="867"/>
      <c r="E18" s="867"/>
      <c r="F18" s="867"/>
      <c r="G18" s="867"/>
      <c r="H18" s="867"/>
      <c r="I18" s="867"/>
      <c r="J18" s="867"/>
      <c r="K18" s="867"/>
      <c r="L18" s="867"/>
    </row>
    <row r="19" spans="1:12" x14ac:dyDescent="0.25">
      <c r="A19" s="287">
        <v>11</v>
      </c>
      <c r="B19" s="290"/>
      <c r="C19" s="867"/>
      <c r="D19" s="867"/>
      <c r="E19" s="867"/>
      <c r="F19" s="867"/>
      <c r="G19" s="867"/>
      <c r="H19" s="867"/>
      <c r="I19" s="867"/>
      <c r="J19" s="867"/>
      <c r="K19" s="867"/>
      <c r="L19" s="867"/>
    </row>
    <row r="20" spans="1:12" x14ac:dyDescent="0.25">
      <c r="A20" s="287">
        <v>12</v>
      </c>
      <c r="B20" s="290"/>
      <c r="C20" s="867"/>
      <c r="D20" s="867"/>
      <c r="E20" s="867"/>
      <c r="F20" s="867"/>
      <c r="G20" s="867"/>
      <c r="H20" s="867"/>
      <c r="I20" s="867"/>
      <c r="J20" s="867"/>
      <c r="K20" s="867"/>
      <c r="L20" s="867"/>
    </row>
    <row r="21" spans="1:12" x14ac:dyDescent="0.25">
      <c r="A21" s="287">
        <v>13</v>
      </c>
      <c r="B21" s="290"/>
      <c r="C21" s="867"/>
      <c r="D21" s="867"/>
      <c r="E21" s="867"/>
      <c r="F21" s="867"/>
      <c r="G21" s="867"/>
      <c r="H21" s="867"/>
      <c r="I21" s="867"/>
      <c r="J21" s="867"/>
      <c r="K21" s="867"/>
      <c r="L21" s="867"/>
    </row>
    <row r="22" spans="1:12" x14ac:dyDescent="0.25">
      <c r="A22" s="287">
        <v>14</v>
      </c>
      <c r="B22" s="290"/>
      <c r="C22" s="867"/>
      <c r="D22" s="867"/>
      <c r="E22" s="867"/>
      <c r="F22" s="867"/>
      <c r="G22" s="867"/>
      <c r="H22" s="867"/>
      <c r="I22" s="867"/>
      <c r="J22" s="867"/>
      <c r="K22" s="867"/>
      <c r="L22" s="867"/>
    </row>
    <row r="23" spans="1:12" ht="15.75" thickBot="1" x14ac:dyDescent="0.3">
      <c r="A23" s="288">
        <v>15</v>
      </c>
      <c r="B23" s="291"/>
      <c r="C23" s="868"/>
      <c r="D23" s="868"/>
      <c r="E23" s="868"/>
      <c r="F23" s="868"/>
      <c r="G23" s="868"/>
      <c r="H23" s="868"/>
      <c r="I23" s="868"/>
      <c r="J23" s="868"/>
      <c r="K23" s="868"/>
      <c r="L23" s="868"/>
    </row>
  </sheetData>
  <mergeCells count="22">
    <mergeCell ref="A5:A7"/>
    <mergeCell ref="B5:B7"/>
    <mergeCell ref="C5:C7"/>
    <mergeCell ref="D5:G5"/>
    <mergeCell ref="H5:K5"/>
    <mergeCell ref="D6:E6"/>
    <mergeCell ref="F6:F7"/>
    <mergeCell ref="G6:G7"/>
    <mergeCell ref="H6:I6"/>
    <mergeCell ref="K9:K23"/>
    <mergeCell ref="L9:L23"/>
    <mergeCell ref="J6:J7"/>
    <mergeCell ref="K6:K7"/>
    <mergeCell ref="C9:C23"/>
    <mergeCell ref="D9:D23"/>
    <mergeCell ref="E9:E23"/>
    <mergeCell ref="F9:F23"/>
    <mergeCell ref="G9:G23"/>
    <mergeCell ref="H9:H23"/>
    <mergeCell ref="I9:I23"/>
    <mergeCell ref="J9:J23"/>
    <mergeCell ref="L5:L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36"/>
  <sheetViews>
    <sheetView view="pageBreakPreview" zoomScaleNormal="100" zoomScaleSheetLayoutView="100" workbookViewId="0">
      <selection activeCell="B9" sqref="B9"/>
    </sheetView>
  </sheetViews>
  <sheetFormatPr defaultColWidth="8.85546875" defaultRowHeight="15" x14ac:dyDescent="0.25"/>
  <cols>
    <col min="1" max="1" width="7.140625" style="740" customWidth="1"/>
    <col min="2" max="2" width="51.7109375" style="740" customWidth="1"/>
    <col min="3" max="3" width="21" style="743" customWidth="1"/>
    <col min="4" max="4" width="14.42578125" style="740" customWidth="1"/>
    <col min="5" max="16384" width="8.85546875" style="740"/>
  </cols>
  <sheetData>
    <row r="1" spans="1:4" ht="47.25" customHeight="1" x14ac:dyDescent="0.25">
      <c r="A1" s="566"/>
      <c r="B1" s="566"/>
      <c r="C1" s="1" t="s">
        <v>150</v>
      </c>
    </row>
    <row r="2" spans="1:4" s="536" customFormat="1" ht="21" customHeight="1" x14ac:dyDescent="0.25">
      <c r="A2" s="875" t="s">
        <v>151</v>
      </c>
      <c r="B2" s="875"/>
      <c r="C2" s="875"/>
    </row>
    <row r="3" spans="1:4" s="536" customFormat="1" ht="24" customHeight="1" x14ac:dyDescent="0.25">
      <c r="A3" s="876" t="s">
        <v>376</v>
      </c>
      <c r="B3" s="876"/>
      <c r="C3" s="876"/>
    </row>
    <row r="4" spans="1:4" s="536" customFormat="1" ht="40.5" customHeight="1" x14ac:dyDescent="0.25">
      <c r="A4" s="877" t="str">
        <f>'23'!A4:G4</f>
        <v>(Kèm theo Nghị quyết số: 33 /NQ-HĐND ngày  19/12/2025 của HĐND xã Cao Minh)</v>
      </c>
      <c r="B4" s="877"/>
      <c r="C4" s="877"/>
      <c r="D4" s="2"/>
    </row>
    <row r="5" spans="1:4" s="536" customFormat="1" ht="21" customHeight="1" x14ac:dyDescent="0.25">
      <c r="A5" s="878" t="s">
        <v>152</v>
      </c>
      <c r="B5" s="878"/>
      <c r="C5" s="878"/>
    </row>
    <row r="6" spans="1:4" s="536" customFormat="1" ht="24" customHeight="1" x14ac:dyDescent="0.25">
      <c r="A6" s="685" t="s">
        <v>0</v>
      </c>
      <c r="B6" s="685" t="s">
        <v>59</v>
      </c>
      <c r="C6" s="686" t="s">
        <v>153</v>
      </c>
    </row>
    <row r="7" spans="1:4" s="538" customFormat="1" ht="22.5" customHeight="1" x14ac:dyDescent="0.25">
      <c r="A7" s="687">
        <v>1</v>
      </c>
      <c r="B7" s="687">
        <v>2</v>
      </c>
      <c r="C7" s="688">
        <v>3</v>
      </c>
    </row>
    <row r="8" spans="1:4" s="536" customFormat="1" ht="25.5" customHeight="1" x14ac:dyDescent="0.25">
      <c r="A8" s="685"/>
      <c r="B8" s="689" t="s">
        <v>154</v>
      </c>
      <c r="C8" s="690">
        <f>C9+C10+C36</f>
        <v>108369000000</v>
      </c>
    </row>
    <row r="9" spans="1:4" s="536" customFormat="1" ht="24.75" customHeight="1" x14ac:dyDescent="0.25">
      <c r="A9" s="685" t="s">
        <v>6</v>
      </c>
      <c r="B9" s="689" t="s">
        <v>155</v>
      </c>
      <c r="C9" s="690"/>
      <c r="D9" s="741"/>
    </row>
    <row r="10" spans="1:4" s="536" customFormat="1" ht="24.75" customHeight="1" x14ac:dyDescent="0.25">
      <c r="A10" s="685" t="s">
        <v>7</v>
      </c>
      <c r="B10" s="689" t="s">
        <v>156</v>
      </c>
      <c r="C10" s="690">
        <f>C11+C18+C32+C33+C34+C35</f>
        <v>108369000000</v>
      </c>
    </row>
    <row r="11" spans="1:4" s="536" customFormat="1" ht="24.75" customHeight="1" x14ac:dyDescent="0.25">
      <c r="A11" s="3" t="s">
        <v>23</v>
      </c>
      <c r="B11" s="4" t="s">
        <v>39</v>
      </c>
      <c r="C11" s="690">
        <f>SUM(C12:C17)</f>
        <v>2038000000</v>
      </c>
    </row>
    <row r="12" spans="1:4" s="536" customFormat="1" ht="24.75" customHeight="1" x14ac:dyDescent="0.25">
      <c r="A12" s="5">
        <v>1</v>
      </c>
      <c r="B12" s="6" t="s">
        <v>157</v>
      </c>
      <c r="C12" s="567">
        <v>2000000000</v>
      </c>
    </row>
    <row r="13" spans="1:4" s="536" customFormat="1" ht="24.75" customHeight="1" x14ac:dyDescent="0.25">
      <c r="A13" s="5">
        <v>2</v>
      </c>
      <c r="B13" s="6" t="s">
        <v>109</v>
      </c>
      <c r="C13" s="567">
        <v>38000000</v>
      </c>
    </row>
    <row r="14" spans="1:4" s="536" customFormat="1" ht="24.75" customHeight="1" x14ac:dyDescent="0.25">
      <c r="A14" s="5">
        <v>3</v>
      </c>
      <c r="B14" s="6" t="s">
        <v>110</v>
      </c>
      <c r="C14" s="567"/>
    </row>
    <row r="15" spans="1:4" s="536" customFormat="1" ht="24.75" customHeight="1" x14ac:dyDescent="0.25">
      <c r="A15" s="5">
        <v>4</v>
      </c>
      <c r="B15" s="6" t="s">
        <v>158</v>
      </c>
      <c r="C15" s="567"/>
    </row>
    <row r="16" spans="1:4" s="536" customFormat="1" ht="24.75" customHeight="1" x14ac:dyDescent="0.25">
      <c r="A16" s="5">
        <v>5</v>
      </c>
      <c r="B16" s="6" t="s">
        <v>159</v>
      </c>
      <c r="C16" s="567"/>
    </row>
    <row r="17" spans="1:3" s="536" customFormat="1" ht="24.75" customHeight="1" x14ac:dyDescent="0.25">
      <c r="A17" s="5">
        <v>6</v>
      </c>
      <c r="B17" s="6" t="s">
        <v>148</v>
      </c>
      <c r="C17" s="567"/>
    </row>
    <row r="18" spans="1:3" s="536" customFormat="1" ht="24.75" customHeight="1" x14ac:dyDescent="0.25">
      <c r="A18" s="685" t="s">
        <v>27</v>
      </c>
      <c r="B18" s="689" t="s">
        <v>40</v>
      </c>
      <c r="C18" s="690">
        <f>SUM(C19:C31)</f>
        <v>103638000000</v>
      </c>
    </row>
    <row r="19" spans="1:3" s="536" customFormat="1" ht="24.75" customHeight="1" x14ac:dyDescent="0.25">
      <c r="A19" s="691">
        <v>1</v>
      </c>
      <c r="B19" s="7" t="s">
        <v>160</v>
      </c>
      <c r="C19" s="692">
        <f>71585000000-467000000</f>
        <v>71118000000</v>
      </c>
    </row>
    <row r="20" spans="1:3" s="536" customFormat="1" ht="24.75" customHeight="1" x14ac:dyDescent="0.25">
      <c r="A20" s="691">
        <v>2</v>
      </c>
      <c r="B20" s="7" t="s">
        <v>161</v>
      </c>
      <c r="C20" s="567"/>
    </row>
    <row r="21" spans="1:3" s="536" customFormat="1" ht="24.75" customHeight="1" x14ac:dyDescent="0.25">
      <c r="A21" s="691">
        <v>3</v>
      </c>
      <c r="B21" s="7" t="s">
        <v>162</v>
      </c>
      <c r="C21" s="567">
        <f>773000000-77000000</f>
        <v>696000000</v>
      </c>
    </row>
    <row r="22" spans="1:3" s="536" customFormat="1" ht="24.75" customHeight="1" x14ac:dyDescent="0.25">
      <c r="A22" s="691">
        <v>4</v>
      </c>
      <c r="B22" s="7" t="s">
        <v>880</v>
      </c>
      <c r="C22" s="567">
        <v>300000000</v>
      </c>
    </row>
    <row r="23" spans="1:3" s="536" customFormat="1" ht="24.75" customHeight="1" x14ac:dyDescent="0.25">
      <c r="A23" s="691">
        <v>5</v>
      </c>
      <c r="B23" s="7" t="s">
        <v>879</v>
      </c>
      <c r="C23" s="567">
        <v>200000000</v>
      </c>
    </row>
    <row r="24" spans="1:3" s="536" customFormat="1" ht="24.75" customHeight="1" x14ac:dyDescent="0.25">
      <c r="A24" s="691">
        <v>6</v>
      </c>
      <c r="B24" s="7" t="s">
        <v>163</v>
      </c>
      <c r="C24" s="567">
        <v>150000000</v>
      </c>
    </row>
    <row r="25" spans="1:3" s="536" customFormat="1" ht="24.75" customHeight="1" x14ac:dyDescent="0.25">
      <c r="A25" s="691">
        <v>7</v>
      </c>
      <c r="B25" s="7" t="s">
        <v>164</v>
      </c>
      <c r="C25" s="567">
        <f>124000000+200000000</f>
        <v>324000000</v>
      </c>
    </row>
    <row r="26" spans="1:3" s="536" customFormat="1" ht="24.75" customHeight="1" x14ac:dyDescent="0.25">
      <c r="A26" s="691">
        <v>8</v>
      </c>
      <c r="B26" s="7" t="s">
        <v>165</v>
      </c>
      <c r="C26" s="567">
        <f>4660000000-496000000-70000000</f>
        <v>4094000000</v>
      </c>
    </row>
    <row r="27" spans="1:3" s="536" customFormat="1" ht="24.75" customHeight="1" x14ac:dyDescent="0.25">
      <c r="A27" s="691">
        <v>9</v>
      </c>
      <c r="B27" s="7" t="s">
        <v>166</v>
      </c>
      <c r="C27" s="567">
        <f>23258000000-480000000</f>
        <v>22778000000</v>
      </c>
    </row>
    <row r="28" spans="1:3" s="536" customFormat="1" ht="24.75" customHeight="1" x14ac:dyDescent="0.25">
      <c r="A28" s="691">
        <v>10</v>
      </c>
      <c r="B28" s="7" t="s">
        <v>167</v>
      </c>
      <c r="C28" s="567">
        <f>806000000-206000000</f>
        <v>600000000</v>
      </c>
    </row>
    <row r="29" spans="1:3" s="536" customFormat="1" ht="24.75" customHeight="1" x14ac:dyDescent="0.25">
      <c r="A29" s="691">
        <v>11</v>
      </c>
      <c r="B29" s="7" t="s">
        <v>168</v>
      </c>
      <c r="C29" s="567">
        <f>300000000+70000000</f>
        <v>370000000</v>
      </c>
    </row>
    <row r="30" spans="1:3" s="536" customFormat="1" ht="24.75" customHeight="1" x14ac:dyDescent="0.25">
      <c r="A30" s="691">
        <v>12</v>
      </c>
      <c r="B30" s="7" t="s">
        <v>169</v>
      </c>
      <c r="C30" s="567">
        <v>300000000</v>
      </c>
    </row>
    <row r="31" spans="1:3" s="536" customFormat="1" ht="24.75" customHeight="1" x14ac:dyDescent="0.25">
      <c r="A31" s="691">
        <v>13</v>
      </c>
      <c r="B31" s="7" t="s">
        <v>170</v>
      </c>
      <c r="C31" s="567">
        <f>3241000000-200000000+206000000-539000000</f>
        <v>2708000000</v>
      </c>
    </row>
    <row r="32" spans="1:3" s="742" customFormat="1" ht="42" customHeight="1" x14ac:dyDescent="0.25">
      <c r="A32" s="685" t="s">
        <v>31</v>
      </c>
      <c r="B32" s="689" t="s">
        <v>173</v>
      </c>
      <c r="C32" s="690"/>
    </row>
    <row r="33" spans="1:3" s="742" customFormat="1" ht="28.5" customHeight="1" x14ac:dyDescent="0.25">
      <c r="A33" s="685" t="s">
        <v>33</v>
      </c>
      <c r="B33" s="689" t="s">
        <v>174</v>
      </c>
      <c r="C33" s="690"/>
    </row>
    <row r="34" spans="1:3" s="742" customFormat="1" ht="28.5" customHeight="1" x14ac:dyDescent="0.25">
      <c r="A34" s="685" t="s">
        <v>35</v>
      </c>
      <c r="B34" s="689" t="s">
        <v>43</v>
      </c>
      <c r="C34" s="690">
        <v>2693000000</v>
      </c>
    </row>
    <row r="35" spans="1:3" s="742" customFormat="1" ht="28.5" customHeight="1" x14ac:dyDescent="0.25">
      <c r="A35" s="685" t="s">
        <v>115</v>
      </c>
      <c r="B35" s="689" t="s">
        <v>44</v>
      </c>
      <c r="C35" s="690"/>
    </row>
    <row r="36" spans="1:3" ht="28.5" customHeight="1" x14ac:dyDescent="0.25">
      <c r="A36" s="693" t="s">
        <v>49</v>
      </c>
      <c r="B36" s="694" t="s">
        <v>118</v>
      </c>
      <c r="C36" s="695"/>
    </row>
  </sheetData>
  <mergeCells count="4">
    <mergeCell ref="A2:C2"/>
    <mergeCell ref="A3:C3"/>
    <mergeCell ref="A4:C4"/>
    <mergeCell ref="A5:C5"/>
  </mergeCells>
  <pageMargins left="0.7" right="0.6" top="0.49" bottom="0.61" header="0.3" footer="0.24"/>
  <pageSetup paperSize="9" firstPageNumber="7" orientation="portrait" useFirstPageNumber="1" verticalDpi="0" r:id="rId1"/>
  <headerFooter>
    <oddFooter>&amp;C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51"/>
  <sheetViews>
    <sheetView view="pageBreakPreview" zoomScaleNormal="85" zoomScaleSheetLayoutView="100" workbookViewId="0">
      <selection activeCell="E10" sqref="E10"/>
    </sheetView>
  </sheetViews>
  <sheetFormatPr defaultColWidth="9.140625" defaultRowHeight="15.75" x14ac:dyDescent="0.25"/>
  <cols>
    <col min="1" max="1" width="5" style="9" customWidth="1"/>
    <col min="2" max="2" width="30.85546875" style="9" customWidth="1"/>
    <col min="3" max="3" width="15.140625" style="9" customWidth="1"/>
    <col min="4" max="4" width="9.42578125" style="9" customWidth="1"/>
    <col min="5" max="5" width="15.5703125" style="9" customWidth="1"/>
    <col min="6" max="6" width="14.42578125" style="9" customWidth="1"/>
    <col min="7" max="7" width="12.28515625" style="9" customWidth="1"/>
    <col min="8" max="8" width="8.28515625" style="9" customWidth="1"/>
    <col min="9" max="9" width="7.140625" style="9" customWidth="1"/>
    <col min="10" max="10" width="6.85546875" style="9" customWidth="1"/>
    <col min="11" max="11" width="7.28515625" style="9" customWidth="1"/>
    <col min="12" max="13" width="8.140625" style="9" customWidth="1"/>
    <col min="14" max="14" width="9.42578125" style="9" customWidth="1"/>
    <col min="15" max="16" width="7.42578125" style="9" customWidth="1"/>
    <col min="17" max="17" width="6.42578125" style="9" customWidth="1"/>
    <col min="18" max="18" width="16.42578125" style="9" customWidth="1"/>
    <col min="19" max="19" width="12.28515625" style="9" customWidth="1"/>
    <col min="20" max="20" width="10.140625" style="9" customWidth="1"/>
    <col min="21" max="16384" width="9.140625" style="9"/>
  </cols>
  <sheetData>
    <row r="1" spans="1:20" ht="47.25" customHeight="1" x14ac:dyDescent="0.25">
      <c r="A1" s="8"/>
      <c r="B1" s="8"/>
      <c r="C1" s="8"/>
      <c r="D1" s="8"/>
      <c r="E1" s="8"/>
      <c r="F1" s="8"/>
      <c r="G1" s="8"/>
      <c r="H1" s="8"/>
      <c r="I1" s="8"/>
      <c r="J1" s="8"/>
      <c r="K1" s="8"/>
      <c r="L1" s="8"/>
      <c r="M1" s="888" t="s">
        <v>175</v>
      </c>
      <c r="N1" s="888"/>
      <c r="O1" s="888"/>
      <c r="P1" s="888"/>
      <c r="Q1" s="888"/>
    </row>
    <row r="2" spans="1:20" s="10" customFormat="1" ht="23.25" customHeight="1" x14ac:dyDescent="0.25">
      <c r="A2" s="889" t="s">
        <v>176</v>
      </c>
      <c r="B2" s="889"/>
      <c r="C2" s="889"/>
      <c r="D2" s="889"/>
      <c r="E2" s="889"/>
      <c r="F2" s="889"/>
      <c r="G2" s="889"/>
      <c r="H2" s="889"/>
      <c r="I2" s="889"/>
      <c r="J2" s="889"/>
      <c r="K2" s="889"/>
      <c r="L2" s="889"/>
      <c r="M2" s="889"/>
      <c r="N2" s="889"/>
      <c r="O2" s="889"/>
      <c r="P2" s="889"/>
      <c r="Q2" s="889"/>
    </row>
    <row r="3" spans="1:20" s="10" customFormat="1" ht="24.75" customHeight="1" x14ac:dyDescent="0.25">
      <c r="A3" s="889" t="s">
        <v>377</v>
      </c>
      <c r="B3" s="889"/>
      <c r="C3" s="889"/>
      <c r="D3" s="889"/>
      <c r="E3" s="889"/>
      <c r="F3" s="889"/>
      <c r="G3" s="889"/>
      <c r="H3" s="889"/>
      <c r="I3" s="889"/>
      <c r="J3" s="889"/>
      <c r="K3" s="889"/>
      <c r="L3" s="889"/>
      <c r="M3" s="889"/>
      <c r="N3" s="889"/>
      <c r="O3" s="889"/>
      <c r="P3" s="889"/>
      <c r="Q3" s="889"/>
    </row>
    <row r="4" spans="1:20" s="10" customFormat="1" ht="24" customHeight="1" x14ac:dyDescent="0.25">
      <c r="A4" s="890" t="str">
        <f>'34'!A4:C4</f>
        <v>(Kèm theo Nghị quyết số: 33 /NQ-HĐND ngày  19/12/2025 của HĐND xã Cao Minh)</v>
      </c>
      <c r="B4" s="890"/>
      <c r="C4" s="890"/>
      <c r="D4" s="890"/>
      <c r="E4" s="890"/>
      <c r="F4" s="890"/>
      <c r="G4" s="890"/>
      <c r="H4" s="890"/>
      <c r="I4" s="890"/>
      <c r="J4" s="890"/>
      <c r="K4" s="890"/>
      <c r="L4" s="890"/>
      <c r="M4" s="890"/>
      <c r="N4" s="890"/>
      <c r="O4" s="890"/>
      <c r="P4" s="890"/>
      <c r="Q4" s="890"/>
    </row>
    <row r="5" spans="1:20" s="10" customFormat="1" ht="21.75" customHeight="1" x14ac:dyDescent="0.25">
      <c r="A5" s="11"/>
      <c r="D5" s="12"/>
      <c r="E5" s="12"/>
      <c r="F5" s="12"/>
      <c r="G5" s="12"/>
      <c r="H5" s="12"/>
      <c r="J5" s="12"/>
      <c r="M5" s="891" t="s">
        <v>152</v>
      </c>
      <c r="N5" s="891"/>
      <c r="O5" s="891"/>
      <c r="P5" s="891"/>
      <c r="Q5" s="891"/>
    </row>
    <row r="6" spans="1:20" ht="29.25" customHeight="1" x14ac:dyDescent="0.25">
      <c r="A6" s="882" t="s">
        <v>0</v>
      </c>
      <c r="B6" s="882" t="s">
        <v>177</v>
      </c>
      <c r="C6" s="882" t="s">
        <v>5</v>
      </c>
      <c r="D6" s="882" t="s">
        <v>178</v>
      </c>
      <c r="E6" s="882" t="s">
        <v>179</v>
      </c>
      <c r="F6" s="882" t="s">
        <v>180</v>
      </c>
      <c r="G6" s="882"/>
      <c r="H6" s="882" t="s">
        <v>181</v>
      </c>
      <c r="I6" s="882" t="s">
        <v>182</v>
      </c>
      <c r="J6" s="882" t="s">
        <v>183</v>
      </c>
      <c r="K6" s="882" t="s">
        <v>44</v>
      </c>
      <c r="L6" s="885" t="s">
        <v>184</v>
      </c>
      <c r="M6" s="886"/>
      <c r="N6" s="886"/>
      <c r="O6" s="886"/>
      <c r="P6" s="887"/>
      <c r="Q6" s="882" t="s">
        <v>185</v>
      </c>
    </row>
    <row r="7" spans="1:20" ht="28.5" customHeight="1" x14ac:dyDescent="0.25">
      <c r="A7" s="882"/>
      <c r="B7" s="882"/>
      <c r="C7" s="882"/>
      <c r="D7" s="882"/>
      <c r="E7" s="882"/>
      <c r="F7" s="883" t="s">
        <v>186</v>
      </c>
      <c r="G7" s="883" t="s">
        <v>187</v>
      </c>
      <c r="H7" s="882"/>
      <c r="I7" s="882"/>
      <c r="J7" s="882"/>
      <c r="K7" s="882"/>
      <c r="L7" s="882" t="s">
        <v>5</v>
      </c>
      <c r="M7" s="882" t="s">
        <v>39</v>
      </c>
      <c r="N7" s="882" t="s">
        <v>188</v>
      </c>
      <c r="O7" s="882" t="s">
        <v>180</v>
      </c>
      <c r="P7" s="882"/>
      <c r="Q7" s="882"/>
    </row>
    <row r="8" spans="1:20" ht="105" customHeight="1" x14ac:dyDescent="0.25">
      <c r="A8" s="882"/>
      <c r="B8" s="882"/>
      <c r="C8" s="882"/>
      <c r="D8" s="882"/>
      <c r="E8" s="882"/>
      <c r="F8" s="884"/>
      <c r="G8" s="884"/>
      <c r="H8" s="882"/>
      <c r="I8" s="882"/>
      <c r="J8" s="882"/>
      <c r="K8" s="882"/>
      <c r="L8" s="882"/>
      <c r="M8" s="882"/>
      <c r="N8" s="882"/>
      <c r="O8" s="13" t="s">
        <v>189</v>
      </c>
      <c r="P8" s="13" t="s">
        <v>190</v>
      </c>
      <c r="Q8" s="882"/>
      <c r="R8" s="14"/>
    </row>
    <row r="9" spans="1:20" s="17" customFormat="1" ht="39.75" customHeight="1" x14ac:dyDescent="0.25">
      <c r="A9" s="15" t="s">
        <v>6</v>
      </c>
      <c r="B9" s="15" t="s">
        <v>7</v>
      </c>
      <c r="C9" s="15">
        <v>1</v>
      </c>
      <c r="D9" s="15">
        <v>2</v>
      </c>
      <c r="E9" s="15">
        <v>3</v>
      </c>
      <c r="F9" s="15">
        <v>4</v>
      </c>
      <c r="G9" s="15">
        <v>5</v>
      </c>
      <c r="H9" s="15">
        <v>6</v>
      </c>
      <c r="I9" s="15">
        <v>7</v>
      </c>
      <c r="J9" s="15">
        <v>8</v>
      </c>
      <c r="K9" s="15">
        <v>9</v>
      </c>
      <c r="L9" s="15" t="s">
        <v>191</v>
      </c>
      <c r="M9" s="15">
        <v>11</v>
      </c>
      <c r="N9" s="15">
        <v>12</v>
      </c>
      <c r="O9" s="15">
        <v>13</v>
      </c>
      <c r="P9" s="15">
        <v>14</v>
      </c>
      <c r="Q9" s="15">
        <v>15</v>
      </c>
      <c r="R9" s="16"/>
      <c r="S9" s="16"/>
    </row>
    <row r="10" spans="1:20" s="22" customFormat="1" ht="20.25" customHeight="1" x14ac:dyDescent="0.25">
      <c r="A10" s="18"/>
      <c r="B10" s="18" t="s">
        <v>192</v>
      </c>
      <c r="C10" s="19">
        <f>C11</f>
        <v>145648643000</v>
      </c>
      <c r="D10" s="19"/>
      <c r="E10" s="19">
        <f t="shared" ref="E10:G10" si="0">E11</f>
        <v>145648643000</v>
      </c>
      <c r="F10" s="19">
        <f t="shared" si="0"/>
        <v>53777018000</v>
      </c>
      <c r="G10" s="19">
        <f t="shared" si="0"/>
        <v>271000000</v>
      </c>
      <c r="H10" s="20"/>
      <c r="I10" s="20"/>
      <c r="J10" s="20"/>
      <c r="K10" s="20"/>
      <c r="L10" s="19"/>
      <c r="M10" s="19"/>
      <c r="N10" s="19"/>
      <c r="O10" s="19"/>
      <c r="P10" s="19"/>
      <c r="Q10" s="20"/>
      <c r="R10" s="21"/>
      <c r="S10" s="21"/>
      <c r="T10" s="21"/>
    </row>
    <row r="11" spans="1:20" s="22" customFormat="1" ht="28.5" customHeight="1" x14ac:dyDescent="0.25">
      <c r="A11" s="23" t="s">
        <v>6</v>
      </c>
      <c r="B11" s="24" t="s">
        <v>193</v>
      </c>
      <c r="C11" s="20">
        <f>C12+C17+C18+C22+C33</f>
        <v>145648643000</v>
      </c>
      <c r="D11" s="25"/>
      <c r="E11" s="20">
        <f>E12+E17+E18+E22+E33</f>
        <v>145648643000</v>
      </c>
      <c r="F11" s="20">
        <f>F12+F17+F18+F22+F33</f>
        <v>53777018000</v>
      </c>
      <c r="G11" s="20">
        <f>G12+G17+G18+G22+G33</f>
        <v>271000000</v>
      </c>
      <c r="H11" s="25"/>
      <c r="I11" s="25"/>
      <c r="J11" s="25"/>
      <c r="K11" s="25"/>
      <c r="L11" s="20"/>
      <c r="M11" s="20"/>
      <c r="N11" s="20"/>
      <c r="O11" s="20"/>
      <c r="P11" s="20"/>
      <c r="Q11" s="25"/>
      <c r="R11" s="21"/>
    </row>
    <row r="12" spans="1:20" s="31" customFormat="1" ht="28.5" customHeight="1" x14ac:dyDescent="0.25">
      <c r="A12" s="26" t="s">
        <v>23</v>
      </c>
      <c r="B12" s="27" t="s">
        <v>194</v>
      </c>
      <c r="C12" s="19">
        <f>SUM(C13:C16)</f>
        <v>35083223000</v>
      </c>
      <c r="D12" s="28"/>
      <c r="E12" s="19">
        <f>SUM(E13:E16)</f>
        <v>35083223000</v>
      </c>
      <c r="F12" s="19">
        <f t="shared" ref="F12:G12" si="1">SUM(F13:F16)</f>
        <v>19198579000</v>
      </c>
      <c r="G12" s="19">
        <f t="shared" si="1"/>
        <v>271000000</v>
      </c>
      <c r="H12" s="28"/>
      <c r="I12" s="28"/>
      <c r="J12" s="28"/>
      <c r="K12" s="28"/>
      <c r="L12" s="19"/>
      <c r="M12" s="19"/>
      <c r="N12" s="19"/>
      <c r="O12" s="19"/>
      <c r="P12" s="19"/>
      <c r="Q12" s="28"/>
      <c r="R12" s="29"/>
      <c r="S12" s="30"/>
    </row>
    <row r="13" spans="1:20" ht="25.5" customHeight="1" x14ac:dyDescent="0.25">
      <c r="A13" s="32">
        <v>1</v>
      </c>
      <c r="B13" s="33" t="s">
        <v>195</v>
      </c>
      <c r="C13" s="34">
        <f>D13+E13+L13</f>
        <v>10410318000</v>
      </c>
      <c r="D13" s="34"/>
      <c r="E13" s="34">
        <f>'37'!D11</f>
        <v>10410318000</v>
      </c>
      <c r="F13" s="34">
        <f>'Biểu 02'!N13</f>
        <v>4743769000</v>
      </c>
      <c r="G13" s="34"/>
      <c r="H13" s="34"/>
      <c r="I13" s="34"/>
      <c r="J13" s="34"/>
      <c r="K13" s="34"/>
      <c r="L13" s="35"/>
      <c r="M13" s="34"/>
      <c r="N13" s="34"/>
      <c r="O13" s="34"/>
      <c r="P13" s="34"/>
      <c r="Q13" s="34"/>
      <c r="R13" s="14"/>
    </row>
    <row r="14" spans="1:20" ht="25.5" customHeight="1" x14ac:dyDescent="0.25">
      <c r="A14" s="32">
        <v>2</v>
      </c>
      <c r="B14" s="33" t="s">
        <v>196</v>
      </c>
      <c r="C14" s="34">
        <f t="shared" ref="C14:C17" si="2">D14+E14+L14</f>
        <v>5982568000</v>
      </c>
      <c r="D14" s="34"/>
      <c r="E14" s="34">
        <f>'37'!D12</f>
        <v>5982568000</v>
      </c>
      <c r="F14" s="34">
        <f>'Biểu 01'!E40+'Biểu 01'!E41+'Biểu 01'!E64+'Biểu 02'!K67</f>
        <v>1802478000</v>
      </c>
      <c r="G14" s="34">
        <f>'Biểu 01'!E37</f>
        <v>271000000</v>
      </c>
      <c r="H14" s="34"/>
      <c r="I14" s="34"/>
      <c r="J14" s="34"/>
      <c r="K14" s="34"/>
      <c r="L14" s="35"/>
      <c r="M14" s="34"/>
      <c r="N14" s="34"/>
      <c r="O14" s="34"/>
      <c r="P14" s="34"/>
      <c r="Q14" s="34"/>
      <c r="S14" s="14"/>
    </row>
    <row r="15" spans="1:20" ht="25.5" customHeight="1" x14ac:dyDescent="0.25">
      <c r="A15" s="32">
        <v>3</v>
      </c>
      <c r="B15" s="33" t="s">
        <v>197</v>
      </c>
      <c r="C15" s="34">
        <f t="shared" si="2"/>
        <v>17324350000</v>
      </c>
      <c r="D15" s="34"/>
      <c r="E15" s="34">
        <f>'37'!D13</f>
        <v>17324350000</v>
      </c>
      <c r="F15" s="34">
        <f>'Biểu 02'!N115</f>
        <v>12652332000</v>
      </c>
      <c r="G15" s="34"/>
      <c r="H15" s="34"/>
      <c r="I15" s="34"/>
      <c r="J15" s="34"/>
      <c r="K15" s="34"/>
      <c r="L15" s="35"/>
      <c r="M15" s="34"/>
      <c r="N15" s="34"/>
      <c r="O15" s="34"/>
      <c r="P15" s="34"/>
      <c r="Q15" s="34"/>
      <c r="R15" s="36"/>
    </row>
    <row r="16" spans="1:20" ht="25.5" customHeight="1" x14ac:dyDescent="0.25">
      <c r="A16" s="32">
        <v>4</v>
      </c>
      <c r="B16" s="33" t="s">
        <v>198</v>
      </c>
      <c r="C16" s="34">
        <f t="shared" si="2"/>
        <v>1365987000</v>
      </c>
      <c r="D16" s="34"/>
      <c r="E16" s="34">
        <f>'37'!D14</f>
        <v>1365987000</v>
      </c>
      <c r="F16" s="34"/>
      <c r="G16" s="34"/>
      <c r="H16" s="34"/>
      <c r="I16" s="34"/>
      <c r="J16" s="34"/>
      <c r="K16" s="34"/>
      <c r="L16" s="34"/>
      <c r="M16" s="34"/>
      <c r="N16" s="34"/>
      <c r="O16" s="34"/>
      <c r="P16" s="34"/>
      <c r="Q16" s="34"/>
      <c r="R16" s="14"/>
    </row>
    <row r="17" spans="1:17" s="31" customFormat="1" ht="39.75" customHeight="1" x14ac:dyDescent="0.25">
      <c r="A17" s="26" t="s">
        <v>27</v>
      </c>
      <c r="B17" s="27" t="s">
        <v>199</v>
      </c>
      <c r="C17" s="19">
        <f t="shared" si="2"/>
        <v>4697762000</v>
      </c>
      <c r="D17" s="19"/>
      <c r="E17" s="19">
        <f>'37'!D15</f>
        <v>4697762000</v>
      </c>
      <c r="F17" s="19">
        <f>'Biểu 02'!N327</f>
        <v>1394224000</v>
      </c>
      <c r="G17" s="19"/>
      <c r="H17" s="19"/>
      <c r="I17" s="19"/>
      <c r="J17" s="19"/>
      <c r="K17" s="19"/>
      <c r="L17" s="19"/>
      <c r="M17" s="19"/>
      <c r="N17" s="19"/>
      <c r="O17" s="19"/>
      <c r="P17" s="19"/>
      <c r="Q17" s="19"/>
    </row>
    <row r="18" spans="1:17" s="31" customFormat="1" ht="25.5" customHeight="1" x14ac:dyDescent="0.25">
      <c r="A18" s="26" t="s">
        <v>31</v>
      </c>
      <c r="B18" s="27" t="s">
        <v>200</v>
      </c>
      <c r="C18" s="19">
        <f>SUM(C19:C21)</f>
        <v>7138166000</v>
      </c>
      <c r="D18" s="19"/>
      <c r="E18" s="19">
        <f>SUM(E19:E21)</f>
        <v>7138166000</v>
      </c>
      <c r="F18" s="19">
        <f t="shared" ref="F18:G18" si="3">SUM(F19:F21)</f>
        <v>906461000</v>
      </c>
      <c r="G18" s="19">
        <f t="shared" si="3"/>
        <v>0</v>
      </c>
      <c r="H18" s="19"/>
      <c r="I18" s="19"/>
      <c r="J18" s="19"/>
      <c r="K18" s="19"/>
      <c r="L18" s="34"/>
      <c r="M18" s="19"/>
      <c r="N18" s="19"/>
      <c r="O18" s="34"/>
      <c r="P18" s="19"/>
      <c r="Q18" s="19"/>
    </row>
    <row r="19" spans="1:17" ht="25.5" customHeight="1" x14ac:dyDescent="0.25">
      <c r="A19" s="32">
        <v>1</v>
      </c>
      <c r="B19" s="33" t="s">
        <v>201</v>
      </c>
      <c r="C19" s="34">
        <f t="shared" ref="C19:C34" si="4">D19+E19+L19</f>
        <v>4017752000</v>
      </c>
      <c r="D19" s="34"/>
      <c r="E19" s="34">
        <f>'37'!D17</f>
        <v>4017752000</v>
      </c>
      <c r="F19" s="34">
        <f>'Biểu 02'!N225</f>
        <v>906461000</v>
      </c>
      <c r="G19" s="34"/>
      <c r="H19" s="34"/>
      <c r="I19" s="34"/>
      <c r="J19" s="34"/>
      <c r="K19" s="34"/>
      <c r="L19" s="34"/>
      <c r="M19" s="34"/>
      <c r="N19" s="34"/>
      <c r="O19" s="34"/>
      <c r="P19" s="34"/>
      <c r="Q19" s="34"/>
    </row>
    <row r="20" spans="1:17" ht="25.5" customHeight="1" x14ac:dyDescent="0.25">
      <c r="A20" s="32">
        <v>2</v>
      </c>
      <c r="B20" s="33" t="s">
        <v>202</v>
      </c>
      <c r="C20" s="34">
        <f t="shared" si="4"/>
        <v>1817100000</v>
      </c>
      <c r="D20" s="34"/>
      <c r="E20" s="34">
        <f>'37'!D18</f>
        <v>1817100000</v>
      </c>
      <c r="F20" s="34"/>
      <c r="G20" s="34"/>
      <c r="H20" s="34"/>
      <c r="I20" s="34"/>
      <c r="J20" s="34"/>
      <c r="K20" s="34"/>
      <c r="L20" s="34"/>
      <c r="M20" s="34"/>
      <c r="N20" s="34"/>
      <c r="O20" s="34"/>
      <c r="P20" s="34"/>
      <c r="Q20" s="34"/>
    </row>
    <row r="21" spans="1:17" ht="25.5" customHeight="1" x14ac:dyDescent="0.25">
      <c r="A21" s="32">
        <v>3</v>
      </c>
      <c r="B21" s="33" t="s">
        <v>203</v>
      </c>
      <c r="C21" s="34">
        <f t="shared" si="4"/>
        <v>1303313999.9999998</v>
      </c>
      <c r="D21" s="34"/>
      <c r="E21" s="34">
        <f>'37'!D19</f>
        <v>1303313999.9999998</v>
      </c>
      <c r="F21" s="34"/>
      <c r="G21" s="34"/>
      <c r="H21" s="34"/>
      <c r="I21" s="34"/>
      <c r="J21" s="34"/>
      <c r="K21" s="34"/>
      <c r="L21" s="34"/>
      <c r="M21" s="34"/>
      <c r="N21" s="34"/>
      <c r="O21" s="34"/>
      <c r="P21" s="34"/>
      <c r="Q21" s="34"/>
    </row>
    <row r="22" spans="1:17" s="31" customFormat="1" ht="26.25" customHeight="1" x14ac:dyDescent="0.25">
      <c r="A22" s="26" t="s">
        <v>33</v>
      </c>
      <c r="B22" s="37" t="s">
        <v>204</v>
      </c>
      <c r="C22" s="19">
        <f t="shared" ref="C22:D22" si="5">SUM(C23:C32)</f>
        <v>98429492000</v>
      </c>
      <c r="D22" s="19">
        <f t="shared" si="5"/>
        <v>0</v>
      </c>
      <c r="E22" s="19">
        <f>SUM(E23:E32)</f>
        <v>98429492000</v>
      </c>
      <c r="F22" s="19">
        <f t="shared" ref="F22:G22" si="6">SUM(F23:F32)</f>
        <v>32277754000</v>
      </c>
      <c r="G22" s="19">
        <f t="shared" si="6"/>
        <v>0</v>
      </c>
      <c r="H22" s="19"/>
      <c r="I22" s="19"/>
      <c r="J22" s="19"/>
      <c r="K22" s="19"/>
      <c r="L22" s="34"/>
      <c r="M22" s="19"/>
      <c r="N22" s="19"/>
      <c r="O22" s="34"/>
      <c r="P22" s="19"/>
      <c r="Q22" s="19"/>
    </row>
    <row r="23" spans="1:17" ht="26.25" customHeight="1" x14ac:dyDescent="0.25">
      <c r="A23" s="32">
        <v>1</v>
      </c>
      <c r="B23" s="33" t="s">
        <v>205</v>
      </c>
      <c r="C23" s="34">
        <f t="shared" si="4"/>
        <v>10044556000</v>
      </c>
      <c r="D23" s="34"/>
      <c r="E23" s="34">
        <f>'37'!D21</f>
        <v>10044556000</v>
      </c>
      <c r="F23" s="34">
        <f>'Biểu 02'!N402</f>
        <v>3042330000</v>
      </c>
      <c r="G23" s="34"/>
      <c r="H23" s="34"/>
      <c r="I23" s="34"/>
      <c r="J23" s="34"/>
      <c r="K23" s="34"/>
      <c r="L23" s="34"/>
      <c r="M23" s="34"/>
      <c r="N23" s="34"/>
      <c r="O23" s="34"/>
      <c r="P23" s="34"/>
      <c r="Q23" s="34"/>
    </row>
    <row r="24" spans="1:17" ht="26.25" customHeight="1" x14ac:dyDescent="0.25">
      <c r="A24" s="32">
        <v>2</v>
      </c>
      <c r="B24" s="33" t="s">
        <v>206</v>
      </c>
      <c r="C24" s="34">
        <f t="shared" si="4"/>
        <v>8214668000</v>
      </c>
      <c r="D24" s="34"/>
      <c r="E24" s="34">
        <f>'37'!D22</f>
        <v>8214668000</v>
      </c>
      <c r="F24" s="34">
        <f>'Biểu 02'!N441</f>
        <v>1847032000</v>
      </c>
      <c r="G24" s="34"/>
      <c r="H24" s="34"/>
      <c r="I24" s="34"/>
      <c r="J24" s="34"/>
      <c r="K24" s="34"/>
      <c r="L24" s="34"/>
      <c r="M24" s="34"/>
      <c r="N24" s="34"/>
      <c r="O24" s="34"/>
      <c r="P24" s="34"/>
      <c r="Q24" s="34"/>
    </row>
    <row r="25" spans="1:17" ht="26.25" customHeight="1" x14ac:dyDescent="0.25">
      <c r="A25" s="32">
        <v>3</v>
      </c>
      <c r="B25" s="33" t="s">
        <v>207</v>
      </c>
      <c r="C25" s="34">
        <f t="shared" si="4"/>
        <v>5338948000</v>
      </c>
      <c r="D25" s="34"/>
      <c r="E25" s="34">
        <f>'37'!D23</f>
        <v>5338948000</v>
      </c>
      <c r="F25" s="34">
        <f>'Biểu 02'!N484</f>
        <v>1090539000</v>
      </c>
      <c r="G25" s="34"/>
      <c r="H25" s="34"/>
      <c r="I25" s="34"/>
      <c r="J25" s="34"/>
      <c r="K25" s="34"/>
      <c r="L25" s="34"/>
      <c r="M25" s="34"/>
      <c r="N25" s="34"/>
      <c r="O25" s="34"/>
      <c r="P25" s="34"/>
      <c r="Q25" s="34"/>
    </row>
    <row r="26" spans="1:17" ht="26.25" customHeight="1" x14ac:dyDescent="0.25">
      <c r="A26" s="32">
        <v>4</v>
      </c>
      <c r="B26" s="33" t="s">
        <v>208</v>
      </c>
      <c r="C26" s="34">
        <f t="shared" si="4"/>
        <v>20467589000</v>
      </c>
      <c r="D26" s="34"/>
      <c r="E26" s="34">
        <f>'37'!D24</f>
        <v>20467589000</v>
      </c>
      <c r="F26" s="34">
        <f>'Biểu 02'!N526</f>
        <v>8197066000</v>
      </c>
      <c r="G26" s="34"/>
      <c r="H26" s="34"/>
      <c r="I26" s="34"/>
      <c r="J26" s="34"/>
      <c r="K26" s="34"/>
      <c r="L26" s="34"/>
      <c r="M26" s="34"/>
      <c r="N26" s="34"/>
      <c r="O26" s="34"/>
      <c r="P26" s="34"/>
      <c r="Q26" s="34"/>
    </row>
    <row r="27" spans="1:17" ht="26.25" customHeight="1" x14ac:dyDescent="0.25">
      <c r="A27" s="32">
        <v>5</v>
      </c>
      <c r="B27" s="33" t="s">
        <v>209</v>
      </c>
      <c r="C27" s="34">
        <f t="shared" si="4"/>
        <v>16959958000</v>
      </c>
      <c r="D27" s="34"/>
      <c r="E27" s="34">
        <f>'37'!D25</f>
        <v>16959958000</v>
      </c>
      <c r="F27" s="34">
        <f>'Biểu 02'!N576</f>
        <v>4995721000</v>
      </c>
      <c r="G27" s="34"/>
      <c r="H27" s="34"/>
      <c r="I27" s="34"/>
      <c r="J27" s="34"/>
      <c r="K27" s="34"/>
      <c r="L27" s="34"/>
      <c r="M27" s="34"/>
      <c r="N27" s="34"/>
      <c r="O27" s="34"/>
      <c r="P27" s="34"/>
      <c r="Q27" s="34"/>
    </row>
    <row r="28" spans="1:17" ht="26.25" customHeight="1" x14ac:dyDescent="0.25">
      <c r="A28" s="32">
        <v>6</v>
      </c>
      <c r="B28" s="33" t="s">
        <v>210</v>
      </c>
      <c r="C28" s="34">
        <f t="shared" si="4"/>
        <v>10693613000</v>
      </c>
      <c r="D28" s="34"/>
      <c r="E28" s="34">
        <f>'37'!D26</f>
        <v>10693613000</v>
      </c>
      <c r="F28" s="34">
        <f>'Biểu 02'!N626</f>
        <v>2810120000</v>
      </c>
      <c r="G28" s="34"/>
      <c r="H28" s="34"/>
      <c r="I28" s="34"/>
      <c r="J28" s="34"/>
      <c r="K28" s="34"/>
      <c r="L28" s="34"/>
      <c r="M28" s="34"/>
      <c r="N28" s="34"/>
      <c r="O28" s="34"/>
      <c r="P28" s="34"/>
      <c r="Q28" s="34"/>
    </row>
    <row r="29" spans="1:17" ht="26.25" customHeight="1" x14ac:dyDescent="0.25">
      <c r="A29" s="32">
        <v>7</v>
      </c>
      <c r="B29" s="33" t="s">
        <v>211</v>
      </c>
      <c r="C29" s="34">
        <f t="shared" si="4"/>
        <v>10575308000</v>
      </c>
      <c r="D29" s="34"/>
      <c r="E29" s="34">
        <f>'37'!D27</f>
        <v>10575308000</v>
      </c>
      <c r="F29" s="34">
        <f>'Biểu 02'!N683</f>
        <v>5021710000</v>
      </c>
      <c r="G29" s="34"/>
      <c r="H29" s="34"/>
      <c r="I29" s="34"/>
      <c r="J29" s="34"/>
      <c r="K29" s="34"/>
      <c r="L29" s="34"/>
      <c r="M29" s="34"/>
      <c r="N29" s="34"/>
      <c r="O29" s="34"/>
      <c r="P29" s="34"/>
      <c r="Q29" s="34"/>
    </row>
    <row r="30" spans="1:17" ht="26.25" customHeight="1" x14ac:dyDescent="0.25">
      <c r="A30" s="32">
        <v>8</v>
      </c>
      <c r="B30" s="33" t="s">
        <v>212</v>
      </c>
      <c r="C30" s="34">
        <f t="shared" si="4"/>
        <v>8822922000</v>
      </c>
      <c r="D30" s="34"/>
      <c r="E30" s="34">
        <f>'37'!D28</f>
        <v>8822922000</v>
      </c>
      <c r="F30" s="34">
        <f>'Biểu 02'!N726</f>
        <v>3134744000</v>
      </c>
      <c r="G30" s="34"/>
      <c r="H30" s="34"/>
      <c r="I30" s="34"/>
      <c r="J30" s="34"/>
      <c r="K30" s="34"/>
      <c r="L30" s="34"/>
      <c r="M30" s="34"/>
      <c r="N30" s="34"/>
      <c r="O30" s="34"/>
      <c r="P30" s="34"/>
      <c r="Q30" s="34"/>
    </row>
    <row r="31" spans="1:17" s="17" customFormat="1" ht="26.25" customHeight="1" x14ac:dyDescent="0.25">
      <c r="A31" s="32">
        <v>9</v>
      </c>
      <c r="B31" s="33" t="s">
        <v>213</v>
      </c>
      <c r="C31" s="34">
        <f t="shared" si="4"/>
        <v>7050930000</v>
      </c>
      <c r="D31" s="38"/>
      <c r="E31" s="34">
        <f>'37'!D29</f>
        <v>7050930000</v>
      </c>
      <c r="F31" s="34">
        <f>'Biểu 02'!N769</f>
        <v>1877492000</v>
      </c>
      <c r="G31" s="34"/>
      <c r="H31" s="34"/>
      <c r="I31" s="34"/>
      <c r="J31" s="34"/>
      <c r="K31" s="34"/>
      <c r="L31" s="34"/>
      <c r="M31" s="34"/>
      <c r="N31" s="34"/>
      <c r="O31" s="34"/>
      <c r="P31" s="38"/>
      <c r="Q31" s="38"/>
    </row>
    <row r="32" spans="1:17" s="17" customFormat="1" ht="26.25" customHeight="1" x14ac:dyDescent="0.25">
      <c r="A32" s="32">
        <v>10</v>
      </c>
      <c r="B32" s="33" t="s">
        <v>789</v>
      </c>
      <c r="C32" s="34">
        <f t="shared" si="4"/>
        <v>261000000</v>
      </c>
      <c r="D32" s="38"/>
      <c r="E32" s="34">
        <f>'37'!D30</f>
        <v>261000000</v>
      </c>
      <c r="F32" s="34">
        <f>'Biểu 02'!N808</f>
        <v>261000000</v>
      </c>
      <c r="G32" s="34"/>
      <c r="H32" s="34"/>
      <c r="I32" s="34"/>
      <c r="J32" s="34"/>
      <c r="K32" s="34"/>
      <c r="L32" s="34"/>
      <c r="M32" s="34"/>
      <c r="N32" s="34"/>
      <c r="O32" s="34"/>
      <c r="P32" s="38"/>
      <c r="Q32" s="38"/>
    </row>
    <row r="33" spans="1:34" s="31" customFormat="1" ht="26.25" customHeight="1" x14ac:dyDescent="0.25">
      <c r="A33" s="26" t="s">
        <v>35</v>
      </c>
      <c r="B33" s="37" t="s">
        <v>214</v>
      </c>
      <c r="C33" s="19">
        <f>C34</f>
        <v>300000000</v>
      </c>
      <c r="D33" s="19"/>
      <c r="E33" s="19">
        <f>E34</f>
        <v>300000000</v>
      </c>
      <c r="F33" s="19"/>
      <c r="G33" s="19"/>
      <c r="H33" s="19"/>
      <c r="I33" s="19"/>
      <c r="J33" s="19"/>
      <c r="K33" s="19"/>
      <c r="L33" s="34"/>
      <c r="M33" s="19"/>
      <c r="N33" s="19"/>
      <c r="O33" s="34"/>
      <c r="P33" s="19"/>
      <c r="Q33" s="19"/>
    </row>
    <row r="34" spans="1:34" s="17" customFormat="1" ht="26.25" customHeight="1" x14ac:dyDescent="0.25">
      <c r="A34" s="32">
        <v>1</v>
      </c>
      <c r="B34" s="39" t="s">
        <v>215</v>
      </c>
      <c r="C34" s="34">
        <f t="shared" si="4"/>
        <v>300000000</v>
      </c>
      <c r="D34" s="38"/>
      <c r="E34" s="34">
        <f>'37'!D32</f>
        <v>300000000</v>
      </c>
      <c r="F34" s="34"/>
      <c r="G34" s="38"/>
      <c r="H34" s="38"/>
      <c r="I34" s="38"/>
      <c r="J34" s="38"/>
      <c r="K34" s="38"/>
      <c r="L34" s="34"/>
      <c r="M34" s="38"/>
      <c r="N34" s="38"/>
      <c r="O34" s="34"/>
      <c r="P34" s="38"/>
      <c r="Q34" s="38"/>
    </row>
    <row r="35" spans="1:34" s="42" customFormat="1" ht="55.5" customHeight="1" x14ac:dyDescent="0.25">
      <c r="A35" s="40" t="s">
        <v>7</v>
      </c>
      <c r="B35" s="41" t="s">
        <v>216</v>
      </c>
      <c r="C35" s="19"/>
      <c r="D35" s="19"/>
      <c r="E35" s="19"/>
      <c r="F35" s="19"/>
      <c r="G35" s="19"/>
      <c r="H35" s="19"/>
      <c r="I35" s="19"/>
      <c r="J35" s="19"/>
      <c r="K35" s="19"/>
      <c r="L35" s="34"/>
      <c r="M35" s="19"/>
      <c r="N35" s="19"/>
      <c r="O35" s="34"/>
      <c r="P35" s="19"/>
      <c r="Q35" s="19"/>
    </row>
    <row r="36" spans="1:34" s="42" customFormat="1" ht="39" customHeight="1" x14ac:dyDescent="0.25">
      <c r="A36" s="40" t="s">
        <v>49</v>
      </c>
      <c r="B36" s="41" t="s">
        <v>217</v>
      </c>
      <c r="C36" s="19"/>
      <c r="D36" s="19"/>
      <c r="E36" s="19"/>
      <c r="F36" s="19"/>
      <c r="G36" s="19"/>
      <c r="H36" s="19"/>
      <c r="I36" s="19"/>
      <c r="J36" s="19"/>
      <c r="K36" s="19"/>
      <c r="L36" s="34"/>
      <c r="M36" s="19"/>
      <c r="N36" s="19"/>
      <c r="O36" s="34"/>
      <c r="P36" s="19"/>
      <c r="Q36" s="19"/>
    </row>
    <row r="37" spans="1:34" s="42" customFormat="1" ht="23.25" customHeight="1" x14ac:dyDescent="0.25">
      <c r="A37" s="40" t="s">
        <v>51</v>
      </c>
      <c r="B37" s="41" t="s">
        <v>218</v>
      </c>
      <c r="C37" s="19"/>
      <c r="D37" s="19"/>
      <c r="E37" s="19"/>
      <c r="F37" s="19"/>
      <c r="G37" s="19"/>
      <c r="H37" s="19"/>
      <c r="I37" s="19"/>
      <c r="J37" s="19"/>
      <c r="K37" s="19"/>
      <c r="L37" s="34"/>
      <c r="M37" s="19"/>
      <c r="N37" s="19"/>
      <c r="O37" s="34"/>
      <c r="P37" s="19"/>
      <c r="Q37" s="19"/>
    </row>
    <row r="38" spans="1:34" s="42" customFormat="1" ht="38.25" customHeight="1" x14ac:dyDescent="0.25">
      <c r="A38" s="40" t="s">
        <v>55</v>
      </c>
      <c r="B38" s="41" t="s">
        <v>219</v>
      </c>
      <c r="C38" s="19"/>
      <c r="D38" s="19"/>
      <c r="E38" s="19"/>
      <c r="F38" s="19"/>
      <c r="G38" s="19"/>
      <c r="H38" s="19"/>
      <c r="I38" s="19"/>
      <c r="J38" s="19"/>
      <c r="K38" s="19"/>
      <c r="L38" s="34"/>
      <c r="M38" s="19"/>
      <c r="N38" s="19"/>
      <c r="O38" s="34"/>
      <c r="P38" s="19"/>
      <c r="Q38" s="19"/>
    </row>
    <row r="39" spans="1:34" s="42" customFormat="1" ht="39.75" customHeight="1" x14ac:dyDescent="0.25">
      <c r="A39" s="40" t="s">
        <v>220</v>
      </c>
      <c r="B39" s="41" t="s">
        <v>221</v>
      </c>
      <c r="C39" s="19"/>
      <c r="D39" s="19"/>
      <c r="E39" s="19"/>
      <c r="F39" s="19"/>
      <c r="G39" s="19"/>
      <c r="H39" s="19"/>
      <c r="I39" s="19"/>
      <c r="J39" s="19"/>
      <c r="K39" s="19"/>
      <c r="L39" s="34"/>
      <c r="M39" s="19"/>
      <c r="N39" s="19"/>
      <c r="O39" s="19"/>
      <c r="P39" s="19"/>
      <c r="Q39" s="19"/>
    </row>
    <row r="40" spans="1:34" s="42" customFormat="1" ht="54.75" customHeight="1" x14ac:dyDescent="0.25">
      <c r="A40" s="40" t="s">
        <v>222</v>
      </c>
      <c r="B40" s="41" t="s">
        <v>223</v>
      </c>
      <c r="C40" s="19"/>
      <c r="D40" s="19"/>
      <c r="E40" s="19"/>
      <c r="F40" s="19"/>
      <c r="G40" s="19"/>
      <c r="H40" s="19"/>
      <c r="I40" s="19"/>
      <c r="J40" s="19"/>
      <c r="K40" s="19"/>
      <c r="L40" s="19"/>
      <c r="M40" s="19"/>
      <c r="N40" s="19"/>
      <c r="O40" s="19"/>
      <c r="P40" s="19"/>
      <c r="Q40" s="19"/>
    </row>
    <row r="41" spans="1:34" s="42" customFormat="1" ht="41.25" customHeight="1" x14ac:dyDescent="0.25">
      <c r="A41" s="40" t="s">
        <v>224</v>
      </c>
      <c r="B41" s="41" t="s">
        <v>225</v>
      </c>
      <c r="C41" s="19"/>
      <c r="D41" s="19"/>
      <c r="E41" s="19"/>
      <c r="F41" s="19"/>
      <c r="G41" s="19"/>
      <c r="H41" s="19"/>
      <c r="I41" s="19"/>
      <c r="J41" s="19"/>
      <c r="K41" s="19"/>
      <c r="L41" s="19"/>
      <c r="M41" s="19"/>
      <c r="N41" s="19"/>
      <c r="O41" s="19"/>
      <c r="P41" s="19"/>
      <c r="Q41" s="19"/>
    </row>
    <row r="42" spans="1:34" ht="21.75" customHeight="1" x14ac:dyDescent="0.25">
      <c r="A42" s="879"/>
      <c r="B42" s="879"/>
      <c r="C42" s="879"/>
      <c r="D42" s="879"/>
      <c r="E42" s="879"/>
      <c r="F42" s="879"/>
      <c r="G42" s="879"/>
      <c r="H42" s="879"/>
      <c r="I42" s="879"/>
      <c r="J42" s="879"/>
      <c r="K42" s="879"/>
      <c r="L42" s="879"/>
      <c r="M42" s="879"/>
      <c r="N42" s="879"/>
      <c r="O42" s="879"/>
      <c r="P42" s="879"/>
      <c r="Q42" s="879"/>
    </row>
    <row r="46" spans="1:34" ht="18.75" customHeight="1" x14ac:dyDescent="0.25">
      <c r="A46" s="43"/>
      <c r="B46" s="43"/>
      <c r="C46" s="43"/>
      <c r="D46" s="43"/>
      <c r="E46" s="43"/>
      <c r="F46" s="43"/>
      <c r="G46" s="880"/>
      <c r="H46" s="880"/>
      <c r="I46" s="880"/>
      <c r="J46" s="880"/>
      <c r="K46" s="880"/>
      <c r="L46" s="880"/>
      <c r="M46" s="880"/>
      <c r="N46" s="880"/>
      <c r="O46" s="880"/>
      <c r="P46" s="880"/>
      <c r="Q46" s="880"/>
      <c r="R46" s="44"/>
      <c r="S46" s="43"/>
      <c r="T46" s="43"/>
      <c r="U46" s="43"/>
      <c r="V46" s="43"/>
      <c r="W46" s="43"/>
      <c r="X46" s="43"/>
      <c r="Y46" s="43"/>
      <c r="Z46" s="43"/>
      <c r="AA46" s="43"/>
      <c r="AB46" s="43"/>
      <c r="AC46" s="43"/>
      <c r="AD46" s="43"/>
      <c r="AE46" s="43"/>
      <c r="AF46" s="43"/>
      <c r="AG46" s="43"/>
      <c r="AH46" s="43"/>
    </row>
    <row r="47" spans="1:34" ht="18.75" x14ac:dyDescent="0.3">
      <c r="A47" s="881"/>
      <c r="B47" s="881"/>
      <c r="C47" s="881"/>
      <c r="D47" s="881"/>
      <c r="E47" s="881"/>
      <c r="F47" s="881"/>
      <c r="G47" s="881"/>
      <c r="H47" s="881"/>
      <c r="I47" s="881"/>
      <c r="J47" s="881"/>
      <c r="K47" s="881"/>
      <c r="L47" s="881"/>
      <c r="M47" s="881"/>
      <c r="N47" s="881"/>
      <c r="O47" s="881"/>
      <c r="P47" s="881"/>
      <c r="Q47" s="881"/>
      <c r="R47" s="45"/>
      <c r="S47" s="45"/>
      <c r="T47" s="45"/>
      <c r="U47" s="45"/>
      <c r="V47" s="45"/>
      <c r="W47" s="45"/>
      <c r="X47" s="45"/>
      <c r="Y47" s="45"/>
      <c r="Z47" s="45"/>
      <c r="AA47" s="45"/>
      <c r="AB47" s="45"/>
      <c r="AC47" s="45"/>
      <c r="AD47" s="45"/>
      <c r="AE47" s="45"/>
      <c r="AF47" s="45"/>
      <c r="AG47" s="45"/>
      <c r="AH47" s="45"/>
    </row>
    <row r="48" spans="1:34" ht="24" customHeight="1" x14ac:dyDescent="0.3">
      <c r="A48" s="46"/>
      <c r="B48" s="47"/>
      <c r="C48" s="48"/>
      <c r="D48" s="48"/>
      <c r="E48" s="48"/>
      <c r="F48" s="48"/>
      <c r="G48" s="48"/>
      <c r="H48" s="48"/>
      <c r="I48" s="48"/>
      <c r="J48" s="48"/>
      <c r="K48" s="49"/>
      <c r="L48" s="50"/>
      <c r="M48" s="51"/>
      <c r="N48" s="50"/>
      <c r="O48" s="50"/>
      <c r="P48" s="50"/>
      <c r="Q48" s="50"/>
      <c r="R48" s="50"/>
      <c r="S48" s="50"/>
      <c r="T48" s="50"/>
      <c r="U48" s="50"/>
      <c r="V48" s="50"/>
      <c r="W48" s="50"/>
      <c r="X48" s="50"/>
      <c r="Y48" s="50"/>
      <c r="Z48" s="50"/>
      <c r="AA48" s="50"/>
      <c r="AB48" s="50"/>
      <c r="AC48" s="50"/>
      <c r="AD48" s="50"/>
      <c r="AE48" s="50"/>
      <c r="AF48" s="50"/>
      <c r="AG48" s="50"/>
      <c r="AH48" s="50"/>
    </row>
    <row r="49" spans="1:34" ht="24" customHeight="1" x14ac:dyDescent="0.3">
      <c r="A49" s="46"/>
      <c r="B49" s="47"/>
      <c r="C49" s="48"/>
      <c r="D49" s="48"/>
      <c r="E49" s="48"/>
      <c r="F49" s="48"/>
      <c r="G49" s="48"/>
      <c r="H49" s="48"/>
      <c r="I49" s="48"/>
      <c r="J49" s="48"/>
      <c r="K49" s="49"/>
      <c r="L49" s="50"/>
      <c r="M49" s="51"/>
      <c r="N49" s="50"/>
      <c r="O49" s="50"/>
      <c r="P49" s="50"/>
      <c r="Q49" s="50"/>
      <c r="R49" s="50"/>
      <c r="S49" s="50"/>
      <c r="T49" s="50"/>
      <c r="U49" s="50"/>
      <c r="V49" s="50"/>
      <c r="W49" s="50"/>
      <c r="X49" s="50"/>
      <c r="Y49" s="50"/>
      <c r="Z49" s="50"/>
      <c r="AA49" s="50"/>
      <c r="AB49" s="50"/>
      <c r="AC49" s="50"/>
      <c r="AD49" s="50"/>
      <c r="AE49" s="50"/>
      <c r="AF49" s="50"/>
      <c r="AG49" s="50"/>
      <c r="AH49" s="50"/>
    </row>
    <row r="50" spans="1:34" ht="24" customHeight="1" x14ac:dyDescent="0.3">
      <c r="A50" s="46"/>
      <c r="B50" s="47"/>
      <c r="C50" s="48"/>
      <c r="D50" s="48"/>
      <c r="E50" s="48"/>
      <c r="F50" s="48"/>
      <c r="G50" s="48"/>
      <c r="H50" s="48"/>
      <c r="I50" s="48"/>
      <c r="J50" s="48"/>
      <c r="K50" s="49"/>
      <c r="L50" s="50"/>
      <c r="M50" s="51"/>
      <c r="N50" s="50"/>
      <c r="O50" s="50"/>
      <c r="P50" s="50"/>
      <c r="Q50" s="50"/>
      <c r="R50" s="50"/>
      <c r="S50" s="50"/>
      <c r="T50" s="50"/>
      <c r="U50" s="50"/>
      <c r="V50" s="50"/>
      <c r="W50" s="50"/>
      <c r="X50" s="50"/>
      <c r="Y50" s="50"/>
      <c r="Z50" s="50"/>
      <c r="AA50" s="50"/>
      <c r="AB50" s="50"/>
      <c r="AC50" s="50"/>
      <c r="AD50" s="50"/>
      <c r="AE50" s="50"/>
      <c r="AF50" s="50"/>
      <c r="AG50" s="50"/>
      <c r="AH50" s="50"/>
    </row>
    <row r="51" spans="1:34" ht="18.75" x14ac:dyDescent="0.3">
      <c r="A51" s="881"/>
      <c r="B51" s="881"/>
      <c r="C51" s="881"/>
      <c r="D51" s="881"/>
      <c r="E51" s="881"/>
      <c r="F51" s="881"/>
      <c r="G51" s="881"/>
      <c r="H51" s="881"/>
      <c r="I51" s="881"/>
      <c r="J51" s="881"/>
      <c r="K51" s="881"/>
      <c r="L51" s="881"/>
      <c r="M51" s="881"/>
      <c r="N51" s="881"/>
      <c r="O51" s="881"/>
      <c r="P51" s="881"/>
      <c r="Q51" s="881"/>
      <c r="R51" s="45"/>
      <c r="S51" s="45"/>
      <c r="T51" s="45"/>
      <c r="U51" s="45"/>
      <c r="V51" s="45"/>
      <c r="W51" s="45"/>
      <c r="X51" s="45"/>
      <c r="Y51" s="45"/>
      <c r="Z51" s="45"/>
      <c r="AA51" s="45"/>
      <c r="AB51" s="45"/>
      <c r="AC51" s="45"/>
      <c r="AD51" s="45"/>
      <c r="AE51" s="45"/>
      <c r="AF51" s="45"/>
      <c r="AG51" s="45"/>
      <c r="AH51" s="45"/>
    </row>
  </sheetData>
  <mergeCells count="27">
    <mergeCell ref="L6:P6"/>
    <mergeCell ref="M1:Q1"/>
    <mergeCell ref="A2:Q2"/>
    <mergeCell ref="A3:Q3"/>
    <mergeCell ref="A4:Q4"/>
    <mergeCell ref="M5:Q5"/>
    <mergeCell ref="A6:A8"/>
    <mergeCell ref="B6:B8"/>
    <mergeCell ref="C6:C8"/>
    <mergeCell ref="D6:D8"/>
    <mergeCell ref="E6:E8"/>
    <mergeCell ref="A42:Q42"/>
    <mergeCell ref="G46:Q46"/>
    <mergeCell ref="A47:Q47"/>
    <mergeCell ref="A51:Q51"/>
    <mergeCell ref="Q6:Q8"/>
    <mergeCell ref="F7:F8"/>
    <mergeCell ref="G7:G8"/>
    <mergeCell ref="L7:L8"/>
    <mergeCell ref="M7:M8"/>
    <mergeCell ref="N7:N8"/>
    <mergeCell ref="O7:P7"/>
    <mergeCell ref="F6:G6"/>
    <mergeCell ref="H6:H8"/>
    <mergeCell ref="I6:I8"/>
    <mergeCell ref="J6:J8"/>
    <mergeCell ref="K6:K8"/>
  </mergeCells>
  <pageMargins left="0.53" right="0.19" top="0.39" bottom="0.41" header="0.3" footer="0.2"/>
  <pageSetup paperSize="9" scale="72" firstPageNumber="9" orientation="landscape" useFirstPageNumber="1" verticalDpi="0" r:id="rId1"/>
  <headerFooter>
    <oddFooter>&amp;C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workbookViewId="0">
      <selection activeCell="M22" sqref="M22"/>
    </sheetView>
  </sheetViews>
  <sheetFormatPr defaultColWidth="9" defaultRowHeight="15" x14ac:dyDescent="0.25"/>
  <cols>
    <col min="1" max="1" width="5.42578125" style="52" customWidth="1"/>
    <col min="2" max="2" width="17.5703125" style="52" customWidth="1"/>
    <col min="3" max="3" width="14.5703125" style="52" customWidth="1"/>
    <col min="4" max="4" width="12.42578125" style="52" customWidth="1"/>
    <col min="5" max="5" width="6" style="52" customWidth="1"/>
    <col min="6" max="6" width="5.42578125" style="52" customWidth="1"/>
    <col min="7" max="9" width="6" style="52" customWidth="1"/>
    <col min="10" max="10" width="7.140625" style="52" customWidth="1"/>
    <col min="11" max="11" width="5.140625" style="52" customWidth="1"/>
    <col min="12" max="12" width="6" style="52" customWidth="1"/>
    <col min="13" max="13" width="13.7109375" style="52" customWidth="1"/>
    <col min="14" max="14" width="12.28515625" style="52" customWidth="1"/>
    <col min="15" max="16" width="9" style="52"/>
    <col min="17" max="17" width="5.5703125" style="52" customWidth="1"/>
    <col min="18" max="18" width="4.85546875" style="52" customWidth="1"/>
    <col min="19" max="16384" width="9" style="52"/>
  </cols>
  <sheetData>
    <row r="1" spans="1:18" ht="51" customHeight="1" x14ac:dyDescent="0.25">
      <c r="O1" s="837" t="s">
        <v>226</v>
      </c>
      <c r="P1" s="835"/>
      <c r="Q1" s="835"/>
      <c r="R1" s="835"/>
    </row>
    <row r="2" spans="1:18" x14ac:dyDescent="0.25">
      <c r="A2" s="838" t="s">
        <v>255</v>
      </c>
      <c r="B2" s="838"/>
      <c r="C2" s="838"/>
      <c r="D2" s="838"/>
      <c r="E2" s="838"/>
      <c r="F2" s="838"/>
      <c r="G2" s="838"/>
      <c r="H2" s="838"/>
      <c r="I2" s="838"/>
      <c r="J2" s="838"/>
      <c r="K2" s="838"/>
      <c r="L2" s="838"/>
      <c r="M2" s="838"/>
      <c r="N2" s="838"/>
      <c r="O2" s="838"/>
      <c r="P2" s="838"/>
      <c r="Q2" s="838"/>
      <c r="R2" s="838"/>
    </row>
    <row r="3" spans="1:18" x14ac:dyDescent="0.25">
      <c r="A3" s="893" t="s">
        <v>498</v>
      </c>
      <c r="B3" s="893"/>
      <c r="C3" s="893"/>
      <c r="D3" s="893"/>
      <c r="E3" s="893"/>
      <c r="F3" s="893"/>
      <c r="G3" s="893"/>
      <c r="H3" s="893"/>
      <c r="I3" s="893"/>
      <c r="J3" s="893"/>
      <c r="K3" s="893"/>
      <c r="L3" s="893"/>
      <c r="M3" s="893"/>
      <c r="N3" s="893"/>
      <c r="O3" s="893"/>
      <c r="P3" s="893"/>
      <c r="Q3" s="893"/>
      <c r="R3" s="893"/>
    </row>
    <row r="4" spans="1:18" x14ac:dyDescent="0.25">
      <c r="A4" s="894" t="str">
        <f>'35'!A4:Q4</f>
        <v>(Kèm theo Nghị quyết số: 33 /NQ-HĐND ngày  19/12/2025 của HĐND xã Cao Minh)</v>
      </c>
      <c r="B4" s="894"/>
      <c r="C4" s="894"/>
      <c r="D4" s="894"/>
      <c r="E4" s="894"/>
      <c r="F4" s="894"/>
      <c r="G4" s="894"/>
      <c r="H4" s="894"/>
      <c r="I4" s="894"/>
      <c r="J4" s="894"/>
      <c r="K4" s="894"/>
      <c r="L4" s="894"/>
      <c r="M4" s="894"/>
      <c r="N4" s="894"/>
      <c r="O4" s="894"/>
      <c r="P4" s="894"/>
      <c r="Q4" s="894"/>
      <c r="R4" s="894"/>
    </row>
    <row r="5" spans="1:18" x14ac:dyDescent="0.25">
      <c r="A5" s="895" t="s">
        <v>228</v>
      </c>
      <c r="B5" s="895"/>
      <c r="C5" s="895"/>
      <c r="D5" s="895"/>
      <c r="E5" s="895"/>
      <c r="F5" s="895"/>
      <c r="G5" s="895"/>
      <c r="H5" s="895"/>
      <c r="I5" s="895"/>
      <c r="J5" s="895"/>
      <c r="K5" s="895"/>
      <c r="L5" s="895"/>
      <c r="M5" s="895"/>
      <c r="N5" s="895"/>
      <c r="O5" s="895"/>
      <c r="P5" s="895"/>
      <c r="Q5" s="895"/>
      <c r="R5" s="895"/>
    </row>
    <row r="6" spans="1:18" x14ac:dyDescent="0.25">
      <c r="A6" s="892" t="s">
        <v>0</v>
      </c>
      <c r="B6" s="892" t="s">
        <v>177</v>
      </c>
      <c r="C6" s="892" t="s">
        <v>5</v>
      </c>
      <c r="D6" s="892" t="s">
        <v>106</v>
      </c>
      <c r="E6" s="892" t="s">
        <v>114</v>
      </c>
      <c r="F6" s="892" t="s">
        <v>138</v>
      </c>
      <c r="G6" s="892" t="s">
        <v>139</v>
      </c>
      <c r="H6" s="892" t="s">
        <v>140</v>
      </c>
      <c r="I6" s="892" t="s">
        <v>141</v>
      </c>
      <c r="J6" s="892" t="s">
        <v>142</v>
      </c>
      <c r="K6" s="892" t="s">
        <v>143</v>
      </c>
      <c r="L6" s="892" t="s">
        <v>144</v>
      </c>
      <c r="M6" s="892" t="s">
        <v>145</v>
      </c>
      <c r="N6" s="892" t="s">
        <v>180</v>
      </c>
      <c r="O6" s="892"/>
      <c r="P6" s="892" t="s">
        <v>146</v>
      </c>
      <c r="Q6" s="892" t="s">
        <v>147</v>
      </c>
      <c r="R6" s="892" t="s">
        <v>148</v>
      </c>
    </row>
    <row r="7" spans="1:18" ht="135" x14ac:dyDescent="0.25">
      <c r="A7" s="892"/>
      <c r="B7" s="892"/>
      <c r="C7" s="892"/>
      <c r="D7" s="892"/>
      <c r="E7" s="892"/>
      <c r="F7" s="892"/>
      <c r="G7" s="892"/>
      <c r="H7" s="892"/>
      <c r="I7" s="892"/>
      <c r="J7" s="892"/>
      <c r="K7" s="892"/>
      <c r="L7" s="892"/>
      <c r="M7" s="892"/>
      <c r="N7" s="53" t="s">
        <v>229</v>
      </c>
      <c r="O7" s="53" t="s">
        <v>230</v>
      </c>
      <c r="P7" s="892"/>
      <c r="Q7" s="892"/>
      <c r="R7" s="892"/>
    </row>
    <row r="8" spans="1:18" s="55" customFormat="1" x14ac:dyDescent="0.25">
      <c r="A8" s="54" t="s">
        <v>6</v>
      </c>
      <c r="B8" s="54" t="s">
        <v>7</v>
      </c>
      <c r="C8" s="54">
        <v>1</v>
      </c>
      <c r="D8" s="54">
        <v>2</v>
      </c>
      <c r="E8" s="54">
        <v>3</v>
      </c>
      <c r="F8" s="54">
        <v>4</v>
      </c>
      <c r="G8" s="54">
        <v>5</v>
      </c>
      <c r="H8" s="54">
        <v>6</v>
      </c>
      <c r="I8" s="54">
        <v>7</v>
      </c>
      <c r="J8" s="54">
        <v>8</v>
      </c>
      <c r="K8" s="54">
        <v>9</v>
      </c>
      <c r="L8" s="54">
        <v>10</v>
      </c>
      <c r="M8" s="54">
        <v>11</v>
      </c>
      <c r="N8" s="54">
        <v>12</v>
      </c>
      <c r="O8" s="54">
        <v>13</v>
      </c>
      <c r="P8" s="54">
        <v>14</v>
      </c>
      <c r="Q8" s="54">
        <v>15</v>
      </c>
      <c r="R8" s="54">
        <v>16</v>
      </c>
    </row>
    <row r="9" spans="1:18" ht="24.75" customHeight="1" x14ac:dyDescent="0.25">
      <c r="A9" s="53"/>
      <c r="B9" s="56" t="s">
        <v>192</v>
      </c>
      <c r="C9" s="57">
        <f>C10+C11</f>
        <v>0</v>
      </c>
      <c r="D9" s="57">
        <f>D10+D11</f>
        <v>0</v>
      </c>
      <c r="E9" s="56"/>
      <c r="F9" s="56"/>
      <c r="G9" s="56"/>
      <c r="H9" s="56"/>
      <c r="I9" s="56"/>
      <c r="J9" s="56"/>
      <c r="K9" s="56"/>
      <c r="L9" s="56"/>
      <c r="M9" s="57">
        <f t="shared" ref="M9:N9" si="0">M10+M11</f>
        <v>0</v>
      </c>
      <c r="N9" s="57">
        <f t="shared" si="0"/>
        <v>0</v>
      </c>
      <c r="O9" s="56"/>
      <c r="P9" s="56"/>
      <c r="Q9" s="56"/>
      <c r="R9" s="56"/>
    </row>
    <row r="10" spans="1:18" ht="21" customHeight="1" x14ac:dyDescent="0.25">
      <c r="A10" s="58">
        <v>1</v>
      </c>
      <c r="B10" s="59" t="s">
        <v>196</v>
      </c>
      <c r="C10" s="60"/>
      <c r="D10" s="60"/>
      <c r="E10" s="59"/>
      <c r="F10" s="59"/>
      <c r="G10" s="59"/>
      <c r="H10" s="59"/>
      <c r="I10" s="59"/>
      <c r="J10" s="59"/>
      <c r="K10" s="59"/>
      <c r="L10" s="59"/>
      <c r="M10" s="60"/>
      <c r="N10" s="60"/>
      <c r="O10" s="59"/>
      <c r="P10" s="59"/>
      <c r="Q10" s="59"/>
      <c r="R10" s="59"/>
    </row>
    <row r="11" spans="1:18" ht="34.5" customHeight="1" x14ac:dyDescent="0.25">
      <c r="A11" s="58">
        <v>2</v>
      </c>
      <c r="B11" s="59" t="s">
        <v>197</v>
      </c>
      <c r="C11" s="60"/>
      <c r="D11" s="59"/>
      <c r="E11" s="59"/>
      <c r="F11" s="59"/>
      <c r="G11" s="59"/>
      <c r="H11" s="59"/>
      <c r="I11" s="59"/>
      <c r="J11" s="59"/>
      <c r="K11" s="59"/>
      <c r="L11" s="59"/>
      <c r="M11" s="60"/>
      <c r="N11" s="59"/>
      <c r="O11" s="59"/>
      <c r="P11" s="59"/>
      <c r="Q11" s="59"/>
      <c r="R11" s="59"/>
    </row>
    <row r="12" spans="1:18" x14ac:dyDescent="0.25">
      <c r="A12" s="61"/>
    </row>
  </sheetData>
  <mergeCells count="22">
    <mergeCell ref="A6:A7"/>
    <mergeCell ref="B6:B7"/>
    <mergeCell ref="C6:C7"/>
    <mergeCell ref="D6:D7"/>
    <mergeCell ref="E6:E7"/>
    <mergeCell ref="O1:R1"/>
    <mergeCell ref="A2:R2"/>
    <mergeCell ref="A3:R3"/>
    <mergeCell ref="A4:R4"/>
    <mergeCell ref="A5:R5"/>
    <mergeCell ref="R6:R7"/>
    <mergeCell ref="F6:F7"/>
    <mergeCell ref="G6:G7"/>
    <mergeCell ref="H6:H7"/>
    <mergeCell ref="I6:I7"/>
    <mergeCell ref="J6:J7"/>
    <mergeCell ref="K6:K7"/>
    <mergeCell ref="L6:L7"/>
    <mergeCell ref="M6:M7"/>
    <mergeCell ref="N6:O6"/>
    <mergeCell ref="P6:P7"/>
    <mergeCell ref="Q6:Q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2"/>
  <sheetViews>
    <sheetView view="pageBreakPreview" topLeftCell="A6" zoomScaleNormal="100" zoomScaleSheetLayoutView="100" workbookViewId="0">
      <pane xSplit="3" ySplit="2" topLeftCell="F8" activePane="bottomRight" state="frozen"/>
      <selection activeCell="A6" sqref="A6"/>
      <selection pane="topRight" activeCell="D6" sqref="D6"/>
      <selection pane="bottomLeft" activeCell="A8" sqref="A8"/>
      <selection pane="bottomRight" activeCell="L19" sqref="L19"/>
    </sheetView>
  </sheetViews>
  <sheetFormatPr defaultColWidth="9.140625" defaultRowHeight="15.75" x14ac:dyDescent="0.25"/>
  <cols>
    <col min="1" max="1" width="5.28515625" style="9" customWidth="1"/>
    <col min="2" max="2" width="30.5703125" style="9" customWidth="1"/>
    <col min="3" max="3" width="12.42578125" style="9" hidden="1" customWidth="1"/>
    <col min="4" max="4" width="16.85546875" style="9" customWidth="1"/>
    <col min="5" max="5" width="15.85546875" style="9" customWidth="1"/>
    <col min="6" max="6" width="12" style="9" customWidth="1"/>
    <col min="7" max="7" width="13.42578125" style="9" customWidth="1"/>
    <col min="8" max="8" width="13.140625" style="9" customWidth="1"/>
    <col min="9" max="9" width="6.7109375" style="9" customWidth="1"/>
    <col min="10" max="12" width="11.5703125" style="9" customWidth="1"/>
    <col min="13" max="13" width="11.85546875" style="9" customWidth="1"/>
    <col min="14" max="14" width="15.42578125" style="9" customWidth="1"/>
    <col min="15" max="15" width="13.140625" style="9" customWidth="1"/>
    <col min="16" max="16" width="14.7109375" style="9" customWidth="1"/>
    <col min="17" max="17" width="14.42578125" style="9" customWidth="1"/>
    <col min="18" max="18" width="14.140625" style="9" customWidth="1"/>
    <col min="19" max="19" width="10.5703125" style="9" customWidth="1"/>
    <col min="20" max="20" width="13.42578125" style="9" customWidth="1"/>
    <col min="21" max="21" width="18.5703125" style="9" hidden="1" customWidth="1"/>
    <col min="22" max="22" width="15.28515625" style="9" bestFit="1" customWidth="1"/>
    <col min="23" max="23" width="15.28515625" style="9" customWidth="1"/>
    <col min="24" max="16384" width="9.140625" style="9"/>
  </cols>
  <sheetData>
    <row r="1" spans="1:23" ht="39.75" customHeight="1" x14ac:dyDescent="0.25">
      <c r="A1" s="62"/>
      <c r="O1" s="896" t="s">
        <v>231</v>
      </c>
      <c r="P1" s="896"/>
      <c r="Q1" s="896"/>
      <c r="R1" s="896"/>
      <c r="S1" s="896"/>
      <c r="T1" s="896"/>
    </row>
    <row r="2" spans="1:23" s="10" customFormat="1" ht="21.75" customHeight="1" x14ac:dyDescent="0.25">
      <c r="A2" s="897" t="s">
        <v>227</v>
      </c>
      <c r="B2" s="897"/>
      <c r="C2" s="897"/>
      <c r="D2" s="897"/>
      <c r="E2" s="897"/>
      <c r="F2" s="897"/>
      <c r="G2" s="897"/>
      <c r="H2" s="897"/>
      <c r="I2" s="897"/>
      <c r="J2" s="897"/>
      <c r="K2" s="897"/>
      <c r="L2" s="897"/>
      <c r="M2" s="897"/>
      <c r="N2" s="897"/>
      <c r="O2" s="897"/>
      <c r="P2" s="897"/>
      <c r="Q2" s="897"/>
      <c r="R2" s="897"/>
      <c r="S2" s="897"/>
      <c r="T2" s="897"/>
    </row>
    <row r="3" spans="1:23" s="10" customFormat="1" ht="24" customHeight="1" x14ac:dyDescent="0.25">
      <c r="A3" s="897" t="s">
        <v>378</v>
      </c>
      <c r="B3" s="897"/>
      <c r="C3" s="897"/>
      <c r="D3" s="897"/>
      <c r="E3" s="897"/>
      <c r="F3" s="897"/>
      <c r="G3" s="897"/>
      <c r="H3" s="897"/>
      <c r="I3" s="897"/>
      <c r="J3" s="897"/>
      <c r="K3" s="897"/>
      <c r="L3" s="897"/>
      <c r="M3" s="897"/>
      <c r="N3" s="897"/>
      <c r="O3" s="897"/>
      <c r="P3" s="897"/>
      <c r="Q3" s="897"/>
      <c r="R3" s="897"/>
      <c r="S3" s="897"/>
      <c r="T3" s="897"/>
    </row>
    <row r="4" spans="1:23" s="10" customFormat="1" ht="21.75" customHeight="1" x14ac:dyDescent="0.25">
      <c r="A4" s="898" t="str">
        <f>'36'!A4:R4</f>
        <v>(Kèm theo Nghị quyết số: 33 /NQ-HĐND ngày  19/12/2025 của HĐND xã Cao Minh)</v>
      </c>
      <c r="B4" s="898"/>
      <c r="C4" s="898"/>
      <c r="D4" s="898"/>
      <c r="E4" s="898"/>
      <c r="F4" s="898"/>
      <c r="G4" s="898"/>
      <c r="H4" s="898"/>
      <c r="I4" s="898"/>
      <c r="J4" s="898"/>
      <c r="K4" s="898"/>
      <c r="L4" s="898"/>
      <c r="M4" s="898"/>
      <c r="N4" s="898"/>
      <c r="O4" s="898"/>
      <c r="P4" s="898"/>
      <c r="Q4" s="898"/>
      <c r="R4" s="898"/>
      <c r="S4" s="898"/>
      <c r="T4" s="898"/>
    </row>
    <row r="5" spans="1:23" s="10" customFormat="1" ht="18" customHeight="1" x14ac:dyDescent="0.25">
      <c r="A5" s="11"/>
      <c r="B5" s="63"/>
      <c r="C5" s="63"/>
      <c r="D5" s="12"/>
      <c r="E5" s="63"/>
      <c r="F5" s="64"/>
      <c r="G5" s="64"/>
      <c r="Q5" s="899" t="s">
        <v>152</v>
      </c>
      <c r="R5" s="899"/>
      <c r="S5" s="899"/>
      <c r="T5" s="899"/>
    </row>
    <row r="6" spans="1:23" x14ac:dyDescent="0.25">
      <c r="A6" s="883" t="s">
        <v>0</v>
      </c>
      <c r="B6" s="883" t="s">
        <v>177</v>
      </c>
      <c r="C6" s="883" t="s">
        <v>233</v>
      </c>
      <c r="D6" s="883" t="s">
        <v>234</v>
      </c>
      <c r="E6" s="883" t="s">
        <v>106</v>
      </c>
      <c r="F6" s="883" t="s">
        <v>114</v>
      </c>
      <c r="G6" s="883" t="s">
        <v>138</v>
      </c>
      <c r="H6" s="883" t="s">
        <v>139</v>
      </c>
      <c r="I6" s="883" t="s">
        <v>140</v>
      </c>
      <c r="J6" s="883" t="s">
        <v>141</v>
      </c>
      <c r="K6" s="883" t="s">
        <v>142</v>
      </c>
      <c r="L6" s="883" t="s">
        <v>143</v>
      </c>
      <c r="M6" s="883" t="s">
        <v>144</v>
      </c>
      <c r="N6" s="883" t="s">
        <v>145</v>
      </c>
      <c r="O6" s="885" t="s">
        <v>180</v>
      </c>
      <c r="P6" s="887"/>
      <c r="Q6" s="883" t="s">
        <v>146</v>
      </c>
      <c r="R6" s="883" t="s">
        <v>147</v>
      </c>
      <c r="S6" s="883" t="s">
        <v>149</v>
      </c>
      <c r="T6" s="883" t="s">
        <v>522</v>
      </c>
    </row>
    <row r="7" spans="1:23" ht="84" customHeight="1" x14ac:dyDescent="0.25">
      <c r="A7" s="884"/>
      <c r="B7" s="884"/>
      <c r="C7" s="884"/>
      <c r="D7" s="884"/>
      <c r="E7" s="884"/>
      <c r="F7" s="884"/>
      <c r="G7" s="884"/>
      <c r="H7" s="884"/>
      <c r="I7" s="884"/>
      <c r="J7" s="884"/>
      <c r="K7" s="884"/>
      <c r="L7" s="884"/>
      <c r="M7" s="884"/>
      <c r="N7" s="884"/>
      <c r="O7" s="13" t="s">
        <v>229</v>
      </c>
      <c r="P7" s="13" t="s">
        <v>230</v>
      </c>
      <c r="Q7" s="884"/>
      <c r="R7" s="884"/>
      <c r="S7" s="884"/>
      <c r="T7" s="884"/>
    </row>
    <row r="8" spans="1:23" s="17" customFormat="1" ht="20.25" customHeight="1" x14ac:dyDescent="0.25">
      <c r="A8" s="15" t="s">
        <v>6</v>
      </c>
      <c r="B8" s="15" t="s">
        <v>7</v>
      </c>
      <c r="C8" s="65"/>
      <c r="D8" s="15">
        <v>1</v>
      </c>
      <c r="E8" s="15">
        <v>2</v>
      </c>
      <c r="F8" s="15">
        <v>3</v>
      </c>
      <c r="G8" s="15">
        <v>4</v>
      </c>
      <c r="H8" s="15">
        <v>5</v>
      </c>
      <c r="I8" s="15">
        <v>6</v>
      </c>
      <c r="J8" s="15">
        <v>7</v>
      </c>
      <c r="K8" s="15">
        <v>8</v>
      </c>
      <c r="L8" s="15">
        <v>9</v>
      </c>
      <c r="M8" s="15">
        <v>10</v>
      </c>
      <c r="N8" s="15">
        <v>11</v>
      </c>
      <c r="O8" s="15">
        <v>12</v>
      </c>
      <c r="P8" s="15">
        <v>13</v>
      </c>
      <c r="Q8" s="15">
        <v>14</v>
      </c>
      <c r="R8" s="15">
        <v>15</v>
      </c>
      <c r="S8" s="15">
        <v>16</v>
      </c>
      <c r="T8" s="65">
        <v>17</v>
      </c>
    </row>
    <row r="9" spans="1:23" s="31" customFormat="1" ht="27.75" customHeight="1" x14ac:dyDescent="0.25">
      <c r="A9" s="13"/>
      <c r="B9" s="13" t="s">
        <v>192</v>
      </c>
      <c r="C9" s="66">
        <f t="shared" ref="C9:T9" si="0">C10+C15+C16+C20+C31</f>
        <v>349787000</v>
      </c>
      <c r="D9" s="66">
        <f t="shared" si="0"/>
        <v>145648643000</v>
      </c>
      <c r="E9" s="66">
        <f t="shared" si="0"/>
        <v>100243868000</v>
      </c>
      <c r="F9" s="66">
        <f t="shared" si="0"/>
        <v>140000000</v>
      </c>
      <c r="G9" s="66">
        <f t="shared" si="0"/>
        <v>2427000000</v>
      </c>
      <c r="H9" s="66">
        <f t="shared" si="0"/>
        <v>901000000</v>
      </c>
      <c r="I9" s="66">
        <f t="shared" si="0"/>
        <v>0</v>
      </c>
      <c r="J9" s="66">
        <f t="shared" si="0"/>
        <v>300000000</v>
      </c>
      <c r="K9" s="66">
        <f t="shared" si="0"/>
        <v>150000000</v>
      </c>
      <c r="L9" s="66">
        <f t="shared" si="0"/>
        <v>200000000</v>
      </c>
      <c r="M9" s="66">
        <f t="shared" si="0"/>
        <v>500000000</v>
      </c>
      <c r="N9" s="66">
        <f t="shared" si="0"/>
        <v>2163000000</v>
      </c>
      <c r="O9" s="66">
        <f t="shared" si="0"/>
        <v>755000000</v>
      </c>
      <c r="P9" s="66">
        <f t="shared" si="0"/>
        <v>1228000000</v>
      </c>
      <c r="Q9" s="66">
        <f t="shared" si="0"/>
        <v>26110775000</v>
      </c>
      <c r="R9" s="66">
        <f t="shared" si="0"/>
        <v>12434000000</v>
      </c>
      <c r="S9" s="66">
        <f t="shared" si="0"/>
        <v>79000000</v>
      </c>
      <c r="T9" s="66">
        <f t="shared" si="0"/>
        <v>1684970999.9990001</v>
      </c>
      <c r="U9" s="67">
        <f>'[2]Biểu 02'!I9</f>
        <v>125799121958.12</v>
      </c>
      <c r="V9" s="14"/>
      <c r="W9" s="14"/>
    </row>
    <row r="10" spans="1:23" ht="27.75" customHeight="1" x14ac:dyDescent="0.25">
      <c r="A10" s="26" t="s">
        <v>23</v>
      </c>
      <c r="B10" s="27" t="s">
        <v>194</v>
      </c>
      <c r="C10" s="66">
        <f>SUM(C11:C13)</f>
        <v>0</v>
      </c>
      <c r="D10" s="66">
        <f>SUM(D11:D14)</f>
        <v>35083223000</v>
      </c>
      <c r="E10" s="66">
        <f t="shared" ref="E10:T10" si="1">SUM(E11:E14)</f>
        <v>1814376000</v>
      </c>
      <c r="F10" s="66">
        <f t="shared" si="1"/>
        <v>140000000</v>
      </c>
      <c r="G10" s="66">
        <f t="shared" si="1"/>
        <v>2427000000</v>
      </c>
      <c r="H10" s="66">
        <f t="shared" si="1"/>
        <v>601000000</v>
      </c>
      <c r="I10" s="66">
        <f t="shared" si="1"/>
        <v>0</v>
      </c>
      <c r="J10" s="66">
        <f t="shared" si="1"/>
        <v>300000000</v>
      </c>
      <c r="K10" s="66">
        <f t="shared" si="1"/>
        <v>150000000</v>
      </c>
      <c r="L10" s="66">
        <f t="shared" si="1"/>
        <v>200000000</v>
      </c>
      <c r="M10" s="66">
        <f t="shared" si="1"/>
        <v>500000000</v>
      </c>
      <c r="N10" s="66">
        <f t="shared" si="1"/>
        <v>2163000000</v>
      </c>
      <c r="O10" s="66">
        <f t="shared" si="1"/>
        <v>755000000</v>
      </c>
      <c r="P10" s="66">
        <f t="shared" si="1"/>
        <v>1228000000</v>
      </c>
      <c r="Q10" s="66">
        <f t="shared" si="1"/>
        <v>14274847000</v>
      </c>
      <c r="R10" s="66">
        <f t="shared" si="1"/>
        <v>12434000000</v>
      </c>
      <c r="S10" s="66">
        <f t="shared" si="1"/>
        <v>79000000</v>
      </c>
      <c r="T10" s="66">
        <f t="shared" si="1"/>
        <v>172000000</v>
      </c>
      <c r="W10" s="14"/>
    </row>
    <row r="11" spans="1:23" s="72" customFormat="1" ht="27.75" customHeight="1" x14ac:dyDescent="0.25">
      <c r="A11" s="68">
        <v>1</v>
      </c>
      <c r="B11" s="69" t="s">
        <v>195</v>
      </c>
      <c r="C11" s="70"/>
      <c r="D11" s="70">
        <f>SUM(E11:S11)-O11-P11</f>
        <v>10410318000</v>
      </c>
      <c r="E11" s="70"/>
      <c r="F11" s="70"/>
      <c r="G11" s="70">
        <f>'Biểu 02'!K26</f>
        <v>2427000000</v>
      </c>
      <c r="H11" s="70">
        <f>'Biểu 02'!K27</f>
        <v>531000000</v>
      </c>
      <c r="I11" s="70"/>
      <c r="J11" s="70"/>
      <c r="K11" s="70"/>
      <c r="L11" s="70"/>
      <c r="M11" s="70"/>
      <c r="N11" s="70"/>
      <c r="O11" s="70"/>
      <c r="P11" s="70"/>
      <c r="Q11" s="70">
        <f>'Biểu 02'!K12+'Biểu 02'!K13+'Biểu 02'!K14+'Biểu 02'!K15+'Biểu 02'!K17+'Biểu 02'!K19+'Biểu 02'!K23</f>
        <v>7274318000</v>
      </c>
      <c r="R11" s="70">
        <f>'Biểu 02'!K18</f>
        <v>168000000</v>
      </c>
      <c r="S11" s="70">
        <f>'Biểu 02'!K16</f>
        <v>10000000</v>
      </c>
      <c r="T11" s="70">
        <f>'Biểu 02'!H11</f>
        <v>72000000</v>
      </c>
      <c r="U11" s="71"/>
      <c r="V11" s="71"/>
      <c r="W11" s="14"/>
    </row>
    <row r="12" spans="1:23" s="72" customFormat="1" ht="27.75" customHeight="1" x14ac:dyDescent="0.25">
      <c r="A12" s="68">
        <v>2</v>
      </c>
      <c r="B12" s="69" t="s">
        <v>196</v>
      </c>
      <c r="C12" s="70"/>
      <c r="D12" s="70">
        <f>SUM(E12:S12)-O12-P12</f>
        <v>5982568000</v>
      </c>
      <c r="E12" s="70"/>
      <c r="F12" s="70"/>
      <c r="G12" s="70"/>
      <c r="H12" s="70">
        <f>'Biểu 02'!K81</f>
        <v>70000000</v>
      </c>
      <c r="I12" s="70"/>
      <c r="J12" s="70"/>
      <c r="K12" s="70"/>
      <c r="L12" s="70"/>
      <c r="M12" s="70">
        <f>'Biểu 02'!K78</f>
        <v>500000000</v>
      </c>
      <c r="N12" s="70">
        <f>'Biểu 02'!K71</f>
        <v>2163000000</v>
      </c>
      <c r="O12" s="70">
        <f>'Biểu 02'!K74</f>
        <v>755000000</v>
      </c>
      <c r="P12" s="70">
        <f>'Biểu 02'!K72+'Biểu 02'!K73</f>
        <v>1228000000</v>
      </c>
      <c r="Q12" s="70">
        <f>'Biểu 02'!K65+'Biểu 02'!K66+'Biểu 02'!K67+'Biểu 02'!K68+'Biểu 02'!K69</f>
        <v>2428568000</v>
      </c>
      <c r="R12" s="70">
        <f>'Biểu 02'!K79</f>
        <v>821000000</v>
      </c>
      <c r="S12" s="70"/>
      <c r="T12" s="70">
        <f>'Biểu 02'!H64</f>
        <v>40000000</v>
      </c>
      <c r="U12" s="71"/>
      <c r="V12" s="71"/>
      <c r="W12" s="14"/>
    </row>
    <row r="13" spans="1:23" s="72" customFormat="1" ht="27.75" customHeight="1" x14ac:dyDescent="0.25">
      <c r="A13" s="68">
        <v>3</v>
      </c>
      <c r="B13" s="69" t="s">
        <v>197</v>
      </c>
      <c r="C13" s="70"/>
      <c r="D13" s="70">
        <f>SUM(E13:S13)-O13-P13</f>
        <v>17324350000</v>
      </c>
      <c r="E13" s="70">
        <f>'Biểu 02'!K134</f>
        <v>1814376000</v>
      </c>
      <c r="F13" s="70">
        <f>'Biểu 02'!K140</f>
        <v>140000000</v>
      </c>
      <c r="G13" s="70"/>
      <c r="H13" s="70"/>
      <c r="I13" s="70"/>
      <c r="J13" s="70">
        <f>'Biểu 02'!K123</f>
        <v>300000000</v>
      </c>
      <c r="K13" s="70">
        <f>'Biểu 02'!K125</f>
        <v>150000000</v>
      </c>
      <c r="L13" s="70">
        <f>'Biểu 02'!K124</f>
        <v>200000000</v>
      </c>
      <c r="M13" s="70"/>
      <c r="N13" s="70"/>
      <c r="O13" s="70"/>
      <c r="P13" s="70"/>
      <c r="Q13" s="70">
        <f>'Biểu 02'!K119+'Biểu 02'!K114+'Biểu 02'!K115+'Biểu 02'!K116+'Biểu 02'!K117</f>
        <v>3274974000</v>
      </c>
      <c r="R13" s="70">
        <f>'Biểu 02'!K126</f>
        <v>11445000000</v>
      </c>
      <c r="S13" s="70"/>
      <c r="T13" s="70">
        <f>'Biểu 02'!H113</f>
        <v>36000000</v>
      </c>
      <c r="U13" s="71"/>
      <c r="V13" s="71"/>
      <c r="W13" s="14"/>
    </row>
    <row r="14" spans="1:23" s="73" customFormat="1" ht="27.75" customHeight="1" x14ac:dyDescent="0.25">
      <c r="A14" s="68">
        <v>4</v>
      </c>
      <c r="B14" s="69" t="s">
        <v>198</v>
      </c>
      <c r="C14" s="70"/>
      <c r="D14" s="70">
        <f>SUM(E14:S14)-O14-P14</f>
        <v>1365987000</v>
      </c>
      <c r="E14" s="70"/>
      <c r="F14" s="70"/>
      <c r="G14" s="70"/>
      <c r="H14" s="70"/>
      <c r="I14" s="70"/>
      <c r="J14" s="70"/>
      <c r="K14" s="70"/>
      <c r="L14" s="70"/>
      <c r="M14" s="70"/>
      <c r="N14" s="70"/>
      <c r="O14" s="70"/>
      <c r="P14" s="70"/>
      <c r="Q14" s="70">
        <f>'Biểu 02'!K187+'Biểu 02'!K188+'Biểu 02'!K189</f>
        <v>1296987000</v>
      </c>
      <c r="R14" s="70"/>
      <c r="S14" s="70">
        <f>'Biểu 02'!K190</f>
        <v>69000000</v>
      </c>
      <c r="T14" s="70">
        <f>'Biểu 02'!H186</f>
        <v>24000000</v>
      </c>
      <c r="U14" s="71"/>
      <c r="V14" s="71"/>
      <c r="W14" s="14"/>
    </row>
    <row r="15" spans="1:23" ht="41.25" customHeight="1" x14ac:dyDescent="0.25">
      <c r="A15" s="26" t="s">
        <v>27</v>
      </c>
      <c r="B15" s="27" t="s">
        <v>199</v>
      </c>
      <c r="C15" s="66">
        <f>'[2]Biểu 02'!H377</f>
        <v>13800000</v>
      </c>
      <c r="D15" s="66">
        <f>SUM(E15:S15)-O15-P15</f>
        <v>4697762000</v>
      </c>
      <c r="E15" s="66"/>
      <c r="F15" s="66"/>
      <c r="G15" s="66"/>
      <c r="H15" s="66"/>
      <c r="I15" s="66"/>
      <c r="J15" s="66"/>
      <c r="K15" s="66"/>
      <c r="L15" s="66"/>
      <c r="M15" s="66"/>
      <c r="N15" s="66"/>
      <c r="O15" s="66"/>
      <c r="P15" s="66"/>
      <c r="Q15" s="66">
        <f>'Biểu 02'!K325</f>
        <v>4697762000</v>
      </c>
      <c r="R15" s="66"/>
      <c r="S15" s="66"/>
      <c r="T15" s="66">
        <f>'Biểu 02'!H325</f>
        <v>40000000</v>
      </c>
      <c r="U15" s="14">
        <f>'[2]Biểu 02'!I377</f>
        <v>2801920000</v>
      </c>
      <c r="V15" s="14"/>
      <c r="W15" s="14"/>
    </row>
    <row r="16" spans="1:23" ht="27" customHeight="1" x14ac:dyDescent="0.25">
      <c r="A16" s="26" t="s">
        <v>31</v>
      </c>
      <c r="B16" s="27" t="s">
        <v>200</v>
      </c>
      <c r="C16" s="66">
        <f>SUM(C17:C19)</f>
        <v>25987000</v>
      </c>
      <c r="D16" s="66">
        <f>SUM(D17:D19)</f>
        <v>7138166000</v>
      </c>
      <c r="E16" s="66"/>
      <c r="F16" s="66"/>
      <c r="G16" s="66"/>
      <c r="H16" s="66"/>
      <c r="I16" s="66"/>
      <c r="J16" s="66"/>
      <c r="K16" s="66"/>
      <c r="L16" s="66"/>
      <c r="M16" s="66"/>
      <c r="N16" s="66"/>
      <c r="O16" s="66"/>
      <c r="P16" s="66"/>
      <c r="Q16" s="66">
        <f>SUM(Q17:Q19)</f>
        <v>7138166000</v>
      </c>
      <c r="R16" s="66"/>
      <c r="S16" s="66"/>
      <c r="T16" s="66">
        <f>SUM(T17:T19)</f>
        <v>76000000</v>
      </c>
      <c r="U16" s="14">
        <f>'[2]Biểu 02'!I288</f>
        <v>5154353000.3199997</v>
      </c>
      <c r="V16" s="14"/>
      <c r="W16" s="14"/>
    </row>
    <row r="17" spans="1:23" ht="27" customHeight="1" x14ac:dyDescent="0.25">
      <c r="A17" s="32">
        <v>1</v>
      </c>
      <c r="B17" s="33" t="s">
        <v>201</v>
      </c>
      <c r="C17" s="74">
        <f>'[2]Biểu 02'!H289</f>
        <v>13507000</v>
      </c>
      <c r="D17" s="74">
        <f>SUM(E17:S17)-O17-P17</f>
        <v>4017752000</v>
      </c>
      <c r="E17" s="74"/>
      <c r="F17" s="74"/>
      <c r="G17" s="74"/>
      <c r="H17" s="74"/>
      <c r="I17" s="74"/>
      <c r="J17" s="74"/>
      <c r="K17" s="74"/>
      <c r="L17" s="74"/>
      <c r="M17" s="74"/>
      <c r="N17" s="74"/>
      <c r="O17" s="74"/>
      <c r="P17" s="74"/>
      <c r="Q17" s="74">
        <f>'Biểu 02'!K223</f>
        <v>4017752000</v>
      </c>
      <c r="R17" s="74"/>
      <c r="S17" s="74"/>
      <c r="T17" s="74">
        <f>'Biểu 02'!H223</f>
        <v>32000000</v>
      </c>
      <c r="U17" s="14">
        <f>'[2]Biểu 02'!I289</f>
        <v>3532885000</v>
      </c>
      <c r="V17" s="14"/>
      <c r="W17" s="14"/>
    </row>
    <row r="18" spans="1:23" ht="27" customHeight="1" x14ac:dyDescent="0.25">
      <c r="A18" s="32">
        <v>2</v>
      </c>
      <c r="B18" s="33" t="s">
        <v>202</v>
      </c>
      <c r="C18" s="74">
        <f>'[2]Biểu 02'!H325</f>
        <v>8400000</v>
      </c>
      <c r="D18" s="74">
        <f>SUM(E18:S18)-O18-P18</f>
        <v>1817100000</v>
      </c>
      <c r="E18" s="74"/>
      <c r="F18" s="74"/>
      <c r="G18" s="74"/>
      <c r="H18" s="74"/>
      <c r="I18" s="74"/>
      <c r="J18" s="74"/>
      <c r="K18" s="74"/>
      <c r="L18" s="74"/>
      <c r="M18" s="74"/>
      <c r="N18" s="74"/>
      <c r="O18" s="74"/>
      <c r="P18" s="74"/>
      <c r="Q18" s="74">
        <f>'Biểu 02'!K263</f>
        <v>1817100000</v>
      </c>
      <c r="R18" s="74"/>
      <c r="S18" s="74"/>
      <c r="T18" s="74">
        <f>'Biểu 02'!H263</f>
        <v>24000000</v>
      </c>
      <c r="U18" s="14">
        <f>'[2]Biểu 02'!I325</f>
        <v>1103520000</v>
      </c>
      <c r="V18" s="14"/>
      <c r="W18" s="14"/>
    </row>
    <row r="19" spans="1:23" ht="27" customHeight="1" x14ac:dyDescent="0.25">
      <c r="A19" s="32">
        <v>3</v>
      </c>
      <c r="B19" s="33" t="s">
        <v>203</v>
      </c>
      <c r="C19" s="74">
        <f>'[2]Biểu 02'!H355</f>
        <v>4080000</v>
      </c>
      <c r="D19" s="74">
        <f>SUM(E19:S19)-O19-P19</f>
        <v>1303313999.9999998</v>
      </c>
      <c r="E19" s="74"/>
      <c r="F19" s="74"/>
      <c r="G19" s="74"/>
      <c r="H19" s="74"/>
      <c r="I19" s="74"/>
      <c r="J19" s="74"/>
      <c r="K19" s="74"/>
      <c r="L19" s="74"/>
      <c r="M19" s="74"/>
      <c r="N19" s="74"/>
      <c r="O19" s="74"/>
      <c r="P19" s="74"/>
      <c r="Q19" s="74">
        <f>'Biểu 02'!K298</f>
        <v>1303313999.9999998</v>
      </c>
      <c r="R19" s="74"/>
      <c r="S19" s="74"/>
      <c r="T19" s="74">
        <f>'Biểu 02'!H298</f>
        <v>20000000</v>
      </c>
      <c r="U19" s="14">
        <f>'[2]Biểu 02'!I355</f>
        <v>517948000.31999999</v>
      </c>
      <c r="V19" s="14"/>
      <c r="W19" s="14"/>
    </row>
    <row r="20" spans="1:23" s="17" customFormat="1" ht="27" customHeight="1" x14ac:dyDescent="0.25">
      <c r="A20" s="26" t="s">
        <v>33</v>
      </c>
      <c r="B20" s="37" t="s">
        <v>204</v>
      </c>
      <c r="C20" s="66">
        <f>SUM(C21:C29)</f>
        <v>310000000</v>
      </c>
      <c r="D20" s="66">
        <f>SUM(D21:D30)</f>
        <v>98429492000</v>
      </c>
      <c r="E20" s="66">
        <f>SUM(E21:E30)</f>
        <v>98429492000</v>
      </c>
      <c r="F20" s="66">
        <f t="shared" ref="F20" si="2">SUM(F21:F29)</f>
        <v>0</v>
      </c>
      <c r="G20" s="74"/>
      <c r="H20" s="74"/>
      <c r="I20" s="74"/>
      <c r="J20" s="74"/>
      <c r="K20" s="74"/>
      <c r="L20" s="74"/>
      <c r="M20" s="74"/>
      <c r="N20" s="74"/>
      <c r="O20" s="74"/>
      <c r="P20" s="74"/>
      <c r="Q20" s="74"/>
      <c r="R20" s="74"/>
      <c r="S20" s="74"/>
      <c r="T20" s="66">
        <f>SUM(T21:T29)</f>
        <v>1396970999.9990001</v>
      </c>
      <c r="U20" s="17">
        <f>'[2]Biểu 02'!I454</f>
        <v>89634208200</v>
      </c>
      <c r="V20" s="14"/>
      <c r="W20" s="14"/>
    </row>
    <row r="21" spans="1:23" s="17" customFormat="1" ht="27" customHeight="1" x14ac:dyDescent="0.25">
      <c r="A21" s="32">
        <v>1</v>
      </c>
      <c r="B21" s="33" t="s">
        <v>205</v>
      </c>
      <c r="C21" s="74">
        <f>'[2]Biểu 02'!H456</f>
        <v>34000000</v>
      </c>
      <c r="D21" s="74">
        <f t="shared" ref="D21:D30" si="3">SUM(E21:S21)-O21-P21</f>
        <v>10044556000</v>
      </c>
      <c r="E21" s="74">
        <f>'Biểu 02'!K400</f>
        <v>10044556000</v>
      </c>
      <c r="F21" s="74"/>
      <c r="G21" s="74"/>
      <c r="H21" s="74"/>
      <c r="I21" s="74"/>
      <c r="J21" s="74"/>
      <c r="K21" s="74"/>
      <c r="L21" s="74"/>
      <c r="M21" s="74"/>
      <c r="N21" s="74"/>
      <c r="O21" s="74"/>
      <c r="P21" s="74"/>
      <c r="Q21" s="74"/>
      <c r="R21" s="74"/>
      <c r="S21" s="74"/>
      <c r="T21" s="74">
        <f>'Biểu 02'!H400</f>
        <v>150378000</v>
      </c>
      <c r="U21" s="16"/>
      <c r="V21" s="14"/>
      <c r="W21" s="14"/>
    </row>
    <row r="22" spans="1:23" s="17" customFormat="1" ht="27" customHeight="1" x14ac:dyDescent="0.25">
      <c r="A22" s="32">
        <v>2</v>
      </c>
      <c r="B22" s="33" t="s">
        <v>206</v>
      </c>
      <c r="C22" s="74">
        <f>'[2]Biểu 02'!H466</f>
        <v>30000000</v>
      </c>
      <c r="D22" s="74">
        <f t="shared" si="3"/>
        <v>8214668000</v>
      </c>
      <c r="E22" s="74">
        <f>'Biểu 02'!K439</f>
        <v>8214668000</v>
      </c>
      <c r="F22" s="74"/>
      <c r="G22" s="74"/>
      <c r="H22" s="74"/>
      <c r="I22" s="74"/>
      <c r="J22" s="74"/>
      <c r="K22" s="74"/>
      <c r="L22" s="74"/>
      <c r="M22" s="74"/>
      <c r="N22" s="74"/>
      <c r="O22" s="74"/>
      <c r="P22" s="74"/>
      <c r="Q22" s="74"/>
      <c r="R22" s="74"/>
      <c r="S22" s="74"/>
      <c r="T22" s="74">
        <f>'Biểu 02'!H439</f>
        <v>108524000</v>
      </c>
      <c r="U22" s="16"/>
      <c r="V22" s="14"/>
      <c r="W22" s="14"/>
    </row>
    <row r="23" spans="1:23" s="17" customFormat="1" ht="27" customHeight="1" x14ac:dyDescent="0.25">
      <c r="A23" s="32">
        <v>3</v>
      </c>
      <c r="B23" s="33" t="s">
        <v>207</v>
      </c>
      <c r="C23" s="74">
        <f>'[2]Biểu 02'!H473</f>
        <v>20000000</v>
      </c>
      <c r="D23" s="74">
        <f t="shared" si="3"/>
        <v>5338948000</v>
      </c>
      <c r="E23" s="74">
        <f>'Biểu 02'!K482</f>
        <v>5338948000</v>
      </c>
      <c r="F23" s="74"/>
      <c r="G23" s="74"/>
      <c r="H23" s="74"/>
      <c r="I23" s="74"/>
      <c r="J23" s="74"/>
      <c r="K23" s="74"/>
      <c r="L23" s="74"/>
      <c r="M23" s="74"/>
      <c r="N23" s="74"/>
      <c r="O23" s="74"/>
      <c r="P23" s="74"/>
      <c r="Q23" s="74"/>
      <c r="R23" s="74"/>
      <c r="S23" s="74"/>
      <c r="T23" s="74">
        <f>'Biểu 02'!H482</f>
        <v>76199999.999500006</v>
      </c>
      <c r="U23" s="16"/>
      <c r="V23" s="14"/>
      <c r="W23" s="14"/>
    </row>
    <row r="24" spans="1:23" s="17" customFormat="1" ht="27" customHeight="1" x14ac:dyDescent="0.25">
      <c r="A24" s="32">
        <v>4</v>
      </c>
      <c r="B24" s="33" t="s">
        <v>208</v>
      </c>
      <c r="C24" s="74">
        <f>'[2]Biểu 02'!H484</f>
        <v>57000000</v>
      </c>
      <c r="D24" s="74">
        <f t="shared" si="3"/>
        <v>20467589000</v>
      </c>
      <c r="E24" s="74">
        <f>'Biểu 02'!K524</f>
        <v>20467589000</v>
      </c>
      <c r="F24" s="74"/>
      <c r="G24" s="74"/>
      <c r="H24" s="74"/>
      <c r="I24" s="74"/>
      <c r="J24" s="74"/>
      <c r="K24" s="74"/>
      <c r="L24" s="74"/>
      <c r="M24" s="74"/>
      <c r="N24" s="74"/>
      <c r="O24" s="74"/>
      <c r="P24" s="74"/>
      <c r="Q24" s="74"/>
      <c r="R24" s="74"/>
      <c r="S24" s="74"/>
      <c r="T24" s="74">
        <f>'Biểu 02'!H524</f>
        <v>252821999.99999997</v>
      </c>
      <c r="U24" s="16"/>
      <c r="V24" s="14"/>
      <c r="W24" s="14"/>
    </row>
    <row r="25" spans="1:23" s="17" customFormat="1" ht="27" customHeight="1" x14ac:dyDescent="0.25">
      <c r="A25" s="32">
        <v>5</v>
      </c>
      <c r="B25" s="33" t="s">
        <v>209</v>
      </c>
      <c r="C25" s="74">
        <f>'[2]Biểu 02'!H497</f>
        <v>54000000</v>
      </c>
      <c r="D25" s="74">
        <f t="shared" si="3"/>
        <v>16959958000</v>
      </c>
      <c r="E25" s="74">
        <f>'Biểu 02'!K574</f>
        <v>16959958000</v>
      </c>
      <c r="F25" s="74"/>
      <c r="G25" s="74"/>
      <c r="H25" s="74"/>
      <c r="I25" s="74"/>
      <c r="J25" s="74"/>
      <c r="K25" s="74"/>
      <c r="L25" s="74"/>
      <c r="M25" s="74"/>
      <c r="N25" s="74"/>
      <c r="O25" s="74"/>
      <c r="P25" s="74"/>
      <c r="Q25" s="74"/>
      <c r="R25" s="74"/>
      <c r="S25" s="74"/>
      <c r="T25" s="74">
        <f>'Biểu 02'!H574</f>
        <v>234271000</v>
      </c>
      <c r="U25" s="16"/>
      <c r="V25" s="14"/>
      <c r="W25" s="14"/>
    </row>
    <row r="26" spans="1:23" s="17" customFormat="1" ht="27" customHeight="1" x14ac:dyDescent="0.25">
      <c r="A26" s="32">
        <v>6</v>
      </c>
      <c r="B26" s="33" t="s">
        <v>210</v>
      </c>
      <c r="C26" s="74">
        <f>'[2]Biểu 02'!H512</f>
        <v>33000000</v>
      </c>
      <c r="D26" s="74">
        <f t="shared" si="3"/>
        <v>10693613000</v>
      </c>
      <c r="E26" s="74">
        <f>'Biểu 02'!K624</f>
        <v>10693613000</v>
      </c>
      <c r="F26" s="74"/>
      <c r="G26" s="74"/>
      <c r="H26" s="74"/>
      <c r="I26" s="74"/>
      <c r="J26" s="74"/>
      <c r="K26" s="74"/>
      <c r="L26" s="74"/>
      <c r="M26" s="74"/>
      <c r="N26" s="74"/>
      <c r="O26" s="74"/>
      <c r="P26" s="74"/>
      <c r="Q26" s="74"/>
      <c r="R26" s="74"/>
      <c r="S26" s="74"/>
      <c r="T26" s="74">
        <f>'Biểu 02'!H624</f>
        <v>143142000</v>
      </c>
      <c r="U26" s="16"/>
      <c r="V26" s="14"/>
      <c r="W26" s="14"/>
    </row>
    <row r="27" spans="1:23" s="17" customFormat="1" ht="27" customHeight="1" x14ac:dyDescent="0.25">
      <c r="A27" s="32">
        <v>7</v>
      </c>
      <c r="B27" s="33" t="s">
        <v>211</v>
      </c>
      <c r="C27" s="74">
        <f>'[2]Biểu 02'!H525</f>
        <v>30000000</v>
      </c>
      <c r="D27" s="74">
        <f t="shared" si="3"/>
        <v>10575308000</v>
      </c>
      <c r="E27" s="74">
        <f>'Biểu 02'!K681</f>
        <v>10575308000</v>
      </c>
      <c r="F27" s="74"/>
      <c r="G27" s="74"/>
      <c r="H27" s="74"/>
      <c r="I27" s="74"/>
      <c r="J27" s="74"/>
      <c r="K27" s="74"/>
      <c r="L27" s="74"/>
      <c r="M27" s="74"/>
      <c r="N27" s="74"/>
      <c r="O27" s="74"/>
      <c r="P27" s="74"/>
      <c r="Q27" s="74"/>
      <c r="R27" s="74"/>
      <c r="S27" s="74"/>
      <c r="T27" s="74">
        <f>'Biểu 02'!H681</f>
        <v>179137000</v>
      </c>
      <c r="U27" s="16"/>
      <c r="V27" s="14"/>
      <c r="W27" s="14"/>
    </row>
    <row r="28" spans="1:23" ht="27" customHeight="1" x14ac:dyDescent="0.25">
      <c r="A28" s="32">
        <v>8</v>
      </c>
      <c r="B28" s="33" t="s">
        <v>212</v>
      </c>
      <c r="C28" s="74">
        <f>'[2]Biểu 02'!H539</f>
        <v>26000000</v>
      </c>
      <c r="D28" s="74">
        <f t="shared" si="3"/>
        <v>8822922000</v>
      </c>
      <c r="E28" s="74">
        <f>'Biểu 02'!K724</f>
        <v>8822922000</v>
      </c>
      <c r="F28" s="74"/>
      <c r="G28" s="74"/>
      <c r="H28" s="74"/>
      <c r="I28" s="74"/>
      <c r="J28" s="74"/>
      <c r="K28" s="74"/>
      <c r="L28" s="74"/>
      <c r="M28" s="74"/>
      <c r="N28" s="74"/>
      <c r="O28" s="74"/>
      <c r="P28" s="74"/>
      <c r="Q28" s="74"/>
      <c r="R28" s="74"/>
      <c r="S28" s="74"/>
      <c r="T28" s="74">
        <f>'Biểu 02'!H724</f>
        <v>145504000</v>
      </c>
      <c r="V28" s="14"/>
      <c r="W28" s="14"/>
    </row>
    <row r="29" spans="1:23" s="17" customFormat="1" ht="27" customHeight="1" x14ac:dyDescent="0.25">
      <c r="A29" s="32">
        <v>9</v>
      </c>
      <c r="B29" s="33" t="s">
        <v>213</v>
      </c>
      <c r="C29" s="74">
        <f>'[2]Biểu 02'!H553</f>
        <v>26000000</v>
      </c>
      <c r="D29" s="74">
        <f t="shared" si="3"/>
        <v>7050930000</v>
      </c>
      <c r="E29" s="74">
        <f>'Biểu 02'!K767</f>
        <v>7050930000</v>
      </c>
      <c r="F29" s="74"/>
      <c r="G29" s="74"/>
      <c r="H29" s="74"/>
      <c r="I29" s="74"/>
      <c r="J29" s="74"/>
      <c r="K29" s="74"/>
      <c r="L29" s="74"/>
      <c r="M29" s="74"/>
      <c r="N29" s="74"/>
      <c r="O29" s="74"/>
      <c r="P29" s="74"/>
      <c r="Q29" s="74"/>
      <c r="R29" s="74"/>
      <c r="S29" s="74"/>
      <c r="T29" s="74">
        <f>'Biểu 02'!H767</f>
        <v>106992999.99950001</v>
      </c>
      <c r="U29" s="16"/>
      <c r="V29" s="14"/>
      <c r="W29" s="14"/>
    </row>
    <row r="30" spans="1:23" s="17" customFormat="1" ht="27" customHeight="1" x14ac:dyDescent="0.25">
      <c r="A30" s="32">
        <v>10</v>
      </c>
      <c r="B30" s="33" t="s">
        <v>789</v>
      </c>
      <c r="C30" s="74"/>
      <c r="D30" s="74">
        <f t="shared" si="3"/>
        <v>261000000</v>
      </c>
      <c r="E30" s="74">
        <f>'Biểu 02'!K806</f>
        <v>261000000</v>
      </c>
      <c r="F30" s="74"/>
      <c r="G30" s="74"/>
      <c r="H30" s="74"/>
      <c r="I30" s="74"/>
      <c r="J30" s="74"/>
      <c r="K30" s="74"/>
      <c r="L30" s="74"/>
      <c r="M30" s="74"/>
      <c r="N30" s="74"/>
      <c r="O30" s="74"/>
      <c r="P30" s="74"/>
      <c r="Q30" s="74"/>
      <c r="R30" s="74"/>
      <c r="S30" s="74"/>
      <c r="T30" s="74"/>
      <c r="U30" s="16"/>
      <c r="V30" s="14"/>
      <c r="W30" s="14"/>
    </row>
    <row r="31" spans="1:23" s="17" customFormat="1" ht="27" customHeight="1" x14ac:dyDescent="0.25">
      <c r="A31" s="26" t="s">
        <v>35</v>
      </c>
      <c r="B31" s="37" t="s">
        <v>214</v>
      </c>
      <c r="C31" s="74">
        <f>C32</f>
        <v>0</v>
      </c>
      <c r="D31" s="66">
        <f>D32</f>
        <v>300000000</v>
      </c>
      <c r="E31" s="66"/>
      <c r="F31" s="66"/>
      <c r="G31" s="66"/>
      <c r="H31" s="66">
        <f>H32</f>
        <v>300000000</v>
      </c>
      <c r="I31" s="74"/>
      <c r="J31" s="74"/>
      <c r="K31" s="74"/>
      <c r="L31" s="74"/>
      <c r="M31" s="74"/>
      <c r="N31" s="74"/>
      <c r="O31" s="74"/>
      <c r="P31" s="74"/>
      <c r="Q31" s="74"/>
      <c r="R31" s="74"/>
      <c r="S31" s="74"/>
      <c r="T31" s="74">
        <f>T32</f>
        <v>0</v>
      </c>
      <c r="U31" s="16">
        <f>H31</f>
        <v>300000000</v>
      </c>
      <c r="V31" s="14"/>
      <c r="W31" s="14"/>
    </row>
    <row r="32" spans="1:23" ht="27" customHeight="1" x14ac:dyDescent="0.25">
      <c r="A32" s="32">
        <v>1</v>
      </c>
      <c r="B32" s="39" t="s">
        <v>215</v>
      </c>
      <c r="C32" s="74"/>
      <c r="D32" s="74">
        <f>SUM(E32:S32)-O32-P32</f>
        <v>300000000</v>
      </c>
      <c r="E32" s="74"/>
      <c r="F32" s="74"/>
      <c r="G32" s="74"/>
      <c r="H32" s="74">
        <f>'Biểu 02'!K810</f>
        <v>300000000</v>
      </c>
      <c r="I32" s="74"/>
      <c r="J32" s="74"/>
      <c r="K32" s="74"/>
      <c r="L32" s="74"/>
      <c r="M32" s="74"/>
      <c r="N32" s="74"/>
      <c r="O32" s="74"/>
      <c r="P32" s="74"/>
      <c r="Q32" s="74"/>
      <c r="R32" s="74"/>
      <c r="S32" s="74"/>
      <c r="T32" s="74"/>
      <c r="U32" s="9">
        <f>'[2]Biểu 02'!I568</f>
        <v>232900000</v>
      </c>
      <c r="V32" s="14"/>
    </row>
  </sheetData>
  <mergeCells count="24">
    <mergeCell ref="K6:K7"/>
    <mergeCell ref="O1:T1"/>
    <mergeCell ref="A2:T2"/>
    <mergeCell ref="A3:T3"/>
    <mergeCell ref="A4:T4"/>
    <mergeCell ref="Q5:T5"/>
    <mergeCell ref="A6:A7"/>
    <mergeCell ref="B6:B7"/>
    <mergeCell ref="C6:C7"/>
    <mergeCell ref="D6:D7"/>
    <mergeCell ref="E6:E7"/>
    <mergeCell ref="F6:F7"/>
    <mergeCell ref="G6:G7"/>
    <mergeCell ref="H6:H7"/>
    <mergeCell ref="I6:I7"/>
    <mergeCell ref="J6:J7"/>
    <mergeCell ref="S6:S7"/>
    <mergeCell ref="T6:T7"/>
    <mergeCell ref="L6:L7"/>
    <mergeCell ref="M6:M7"/>
    <mergeCell ref="N6:N7"/>
    <mergeCell ref="O6:P6"/>
    <mergeCell ref="Q6:Q7"/>
    <mergeCell ref="R6:R7"/>
  </mergeCells>
  <pageMargins left="0.28999999999999998" right="0.18" top="0.36" bottom="0.44" header="0.3" footer="0.2"/>
  <pageSetup paperSize="9" scale="52" firstPageNumber="11" orientation="landscape" useFirstPageNumber="1" verticalDpi="0" r:id="rId1"/>
  <headerFooter>
    <oddFooter>&amp;C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workbookViewId="0">
      <selection activeCell="A2" sqref="A2:Z2"/>
    </sheetView>
  </sheetViews>
  <sheetFormatPr defaultColWidth="9" defaultRowHeight="15" x14ac:dyDescent="0.25"/>
  <cols>
    <col min="1" max="1" width="4.42578125" style="75" customWidth="1"/>
    <col min="2" max="2" width="11.42578125" style="75" customWidth="1"/>
    <col min="3" max="3" width="10.28515625" style="75" bestFit="1" customWidth="1"/>
    <col min="4" max="4" width="11" style="75" customWidth="1"/>
    <col min="5" max="5" width="10.28515625" style="75" bestFit="1" customWidth="1"/>
    <col min="6" max="6" width="9.42578125" style="75" bestFit="1" customWidth="1"/>
    <col min="7" max="8" width="9" style="75"/>
    <col min="9" max="9" width="8.140625" style="75" customWidth="1"/>
    <col min="10" max="11" width="9" style="75"/>
    <col min="12" max="12" width="8.28515625" style="75" customWidth="1"/>
    <col min="13" max="15" width="9.42578125" style="75" bestFit="1" customWidth="1"/>
    <col min="16" max="16" width="9" style="75"/>
    <col min="17" max="18" width="9.42578125" style="75" bestFit="1" customWidth="1"/>
    <col min="19" max="19" width="7.7109375" style="75" customWidth="1"/>
    <col min="20" max="22" width="10.28515625" style="75" bestFit="1" customWidth="1"/>
    <col min="23" max="23" width="9" style="75"/>
    <col min="24" max="25" width="9.42578125" style="75" bestFit="1" customWidth="1"/>
    <col min="26" max="16384" width="9" style="75"/>
  </cols>
  <sheetData>
    <row r="1" spans="1:26" ht="40.5" customHeight="1" x14ac:dyDescent="0.25">
      <c r="R1" s="76"/>
      <c r="W1" s="837" t="s">
        <v>235</v>
      </c>
      <c r="X1" s="837"/>
      <c r="Y1" s="837"/>
      <c r="Z1" s="837"/>
    </row>
    <row r="2" spans="1:26" ht="15.75" x14ac:dyDescent="0.25">
      <c r="A2" s="901" t="s">
        <v>419</v>
      </c>
      <c r="B2" s="901"/>
      <c r="C2" s="901"/>
      <c r="D2" s="901"/>
      <c r="E2" s="901"/>
      <c r="F2" s="901"/>
      <c r="G2" s="901"/>
      <c r="H2" s="901"/>
      <c r="I2" s="901"/>
      <c r="J2" s="901"/>
      <c r="K2" s="901"/>
      <c r="L2" s="901"/>
      <c r="M2" s="901"/>
      <c r="N2" s="901"/>
      <c r="O2" s="901"/>
      <c r="P2" s="901"/>
      <c r="Q2" s="901"/>
      <c r="R2" s="901"/>
      <c r="S2" s="901"/>
      <c r="T2" s="901"/>
      <c r="U2" s="901"/>
      <c r="V2" s="901"/>
      <c r="W2" s="901"/>
      <c r="X2" s="901"/>
      <c r="Y2" s="901"/>
      <c r="Z2" s="901"/>
    </row>
    <row r="3" spans="1:26" ht="15.75" x14ac:dyDescent="0.25">
      <c r="A3" s="902" t="s">
        <v>379</v>
      </c>
      <c r="B3" s="902"/>
      <c r="C3" s="902"/>
      <c r="D3" s="902"/>
      <c r="E3" s="902"/>
      <c r="F3" s="902"/>
      <c r="G3" s="902"/>
      <c r="H3" s="902"/>
      <c r="I3" s="902"/>
      <c r="J3" s="902"/>
      <c r="K3" s="902"/>
      <c r="L3" s="902"/>
      <c r="M3" s="902"/>
      <c r="N3" s="902"/>
      <c r="O3" s="902"/>
      <c r="P3" s="902"/>
      <c r="Q3" s="902"/>
      <c r="R3" s="902"/>
      <c r="S3" s="902"/>
      <c r="T3" s="902"/>
      <c r="U3" s="902"/>
      <c r="V3" s="902"/>
      <c r="W3" s="902"/>
      <c r="X3" s="902"/>
      <c r="Y3" s="902"/>
      <c r="Z3" s="902"/>
    </row>
    <row r="4" spans="1:26" ht="15.75" x14ac:dyDescent="0.25">
      <c r="A4" s="903" t="str">
        <f>'37'!A4:T4</f>
        <v>(Kèm theo Nghị quyết số: 33 /NQ-HĐND ngày  19/12/2025 của HĐND xã Cao Minh)</v>
      </c>
      <c r="B4" s="903"/>
      <c r="C4" s="903"/>
      <c r="D4" s="903"/>
      <c r="E4" s="903"/>
      <c r="F4" s="903"/>
      <c r="G4" s="903"/>
      <c r="H4" s="903"/>
      <c r="I4" s="903"/>
      <c r="J4" s="903"/>
      <c r="K4" s="903"/>
      <c r="L4" s="903"/>
      <c r="M4" s="903"/>
      <c r="N4" s="903"/>
      <c r="O4" s="903"/>
      <c r="P4" s="903"/>
      <c r="Q4" s="903"/>
      <c r="R4" s="903"/>
      <c r="S4" s="903"/>
      <c r="T4" s="903"/>
      <c r="U4" s="903"/>
      <c r="V4" s="903"/>
      <c r="W4" s="903"/>
      <c r="X4" s="903"/>
      <c r="Y4" s="903"/>
      <c r="Z4" s="903"/>
    </row>
    <row r="5" spans="1:26" x14ac:dyDescent="0.25">
      <c r="A5" s="895" t="s">
        <v>228</v>
      </c>
      <c r="B5" s="895"/>
      <c r="C5" s="895"/>
      <c r="D5" s="895"/>
      <c r="E5" s="895"/>
      <c r="F5" s="895"/>
      <c r="G5" s="895"/>
      <c r="H5" s="895"/>
      <c r="I5" s="895"/>
      <c r="J5" s="895"/>
      <c r="K5" s="895"/>
      <c r="L5" s="895"/>
      <c r="M5" s="895"/>
      <c r="N5" s="895"/>
      <c r="O5" s="895"/>
      <c r="P5" s="895"/>
      <c r="Q5" s="895"/>
      <c r="R5" s="895"/>
      <c r="S5" s="895"/>
      <c r="T5" s="895"/>
      <c r="U5" s="895"/>
      <c r="V5" s="895"/>
      <c r="W5" s="895"/>
      <c r="X5" s="895"/>
      <c r="Y5" s="895"/>
      <c r="Z5" s="895"/>
    </row>
    <row r="6" spans="1:26" x14ac:dyDescent="0.25">
      <c r="A6" s="900" t="s">
        <v>0</v>
      </c>
      <c r="B6" s="900" t="s">
        <v>237</v>
      </c>
      <c r="C6" s="900" t="s">
        <v>5</v>
      </c>
      <c r="D6" s="900" t="s">
        <v>180</v>
      </c>
      <c r="E6" s="900"/>
      <c r="F6" s="900" t="s">
        <v>238</v>
      </c>
      <c r="G6" s="900"/>
      <c r="H6" s="900"/>
      <c r="I6" s="900"/>
      <c r="J6" s="900"/>
      <c r="K6" s="900"/>
      <c r="L6" s="900"/>
      <c r="M6" s="900" t="s">
        <v>239</v>
      </c>
      <c r="N6" s="900"/>
      <c r="O6" s="900"/>
      <c r="P6" s="900"/>
      <c r="Q6" s="900"/>
      <c r="R6" s="900"/>
      <c r="S6" s="900"/>
      <c r="T6" s="900" t="s">
        <v>240</v>
      </c>
      <c r="U6" s="900"/>
      <c r="V6" s="900"/>
      <c r="W6" s="900"/>
      <c r="X6" s="900"/>
      <c r="Y6" s="900"/>
      <c r="Z6" s="900"/>
    </row>
    <row r="7" spans="1:26" x14ac:dyDescent="0.25">
      <c r="A7" s="900"/>
      <c r="B7" s="900"/>
      <c r="C7" s="900"/>
      <c r="D7" s="900" t="s">
        <v>241</v>
      </c>
      <c r="E7" s="900" t="s">
        <v>242</v>
      </c>
      <c r="F7" s="900" t="s">
        <v>5</v>
      </c>
      <c r="G7" s="900" t="s">
        <v>241</v>
      </c>
      <c r="H7" s="900"/>
      <c r="I7" s="900"/>
      <c r="J7" s="900" t="s">
        <v>242</v>
      </c>
      <c r="K7" s="900"/>
      <c r="L7" s="900"/>
      <c r="M7" s="900" t="s">
        <v>5</v>
      </c>
      <c r="N7" s="900" t="s">
        <v>241</v>
      </c>
      <c r="O7" s="900"/>
      <c r="P7" s="900"/>
      <c r="Q7" s="900" t="s">
        <v>242</v>
      </c>
      <c r="R7" s="900"/>
      <c r="S7" s="900"/>
      <c r="T7" s="900" t="s">
        <v>5</v>
      </c>
      <c r="U7" s="900" t="s">
        <v>241</v>
      </c>
      <c r="V7" s="900"/>
      <c r="W7" s="900"/>
      <c r="X7" s="900" t="s">
        <v>242</v>
      </c>
      <c r="Y7" s="900"/>
      <c r="Z7" s="900"/>
    </row>
    <row r="8" spans="1:26" x14ac:dyDescent="0.25">
      <c r="A8" s="900"/>
      <c r="B8" s="900"/>
      <c r="C8" s="900"/>
      <c r="D8" s="900"/>
      <c r="E8" s="900"/>
      <c r="F8" s="900"/>
      <c r="G8" s="77" t="s">
        <v>5</v>
      </c>
      <c r="H8" s="77" t="s">
        <v>189</v>
      </c>
      <c r="I8" s="77" t="s">
        <v>243</v>
      </c>
      <c r="J8" s="77" t="s">
        <v>5</v>
      </c>
      <c r="K8" s="77" t="s">
        <v>189</v>
      </c>
      <c r="L8" s="77" t="s">
        <v>243</v>
      </c>
      <c r="M8" s="900"/>
      <c r="N8" s="77" t="s">
        <v>5</v>
      </c>
      <c r="O8" s="77" t="s">
        <v>189</v>
      </c>
      <c r="P8" s="77" t="s">
        <v>243</v>
      </c>
      <c r="Q8" s="77" t="s">
        <v>5</v>
      </c>
      <c r="R8" s="77" t="s">
        <v>189</v>
      </c>
      <c r="S8" s="77" t="s">
        <v>243</v>
      </c>
      <c r="T8" s="900"/>
      <c r="U8" s="77" t="s">
        <v>5</v>
      </c>
      <c r="V8" s="77" t="s">
        <v>189</v>
      </c>
      <c r="W8" s="77" t="s">
        <v>243</v>
      </c>
      <c r="X8" s="77" t="s">
        <v>5</v>
      </c>
      <c r="Y8" s="77" t="s">
        <v>189</v>
      </c>
      <c r="Z8" s="77" t="s">
        <v>243</v>
      </c>
    </row>
    <row r="9" spans="1:26" s="79" customFormat="1" x14ac:dyDescent="0.25">
      <c r="A9" s="78" t="s">
        <v>6</v>
      </c>
      <c r="B9" s="78" t="s">
        <v>7</v>
      </c>
      <c r="C9" s="78" t="s">
        <v>244</v>
      </c>
      <c r="D9" s="78" t="s">
        <v>245</v>
      </c>
      <c r="E9" s="78" t="s">
        <v>246</v>
      </c>
      <c r="F9" s="78" t="s">
        <v>247</v>
      </c>
      <c r="G9" s="78" t="s">
        <v>248</v>
      </c>
      <c r="H9" s="78">
        <v>6</v>
      </c>
      <c r="I9" s="78">
        <v>7</v>
      </c>
      <c r="J9" s="78" t="s">
        <v>249</v>
      </c>
      <c r="K9" s="78">
        <v>9</v>
      </c>
      <c r="L9" s="78">
        <v>10</v>
      </c>
      <c r="M9" s="78" t="s">
        <v>250</v>
      </c>
      <c r="N9" s="78" t="s">
        <v>251</v>
      </c>
      <c r="O9" s="78">
        <v>13</v>
      </c>
      <c r="P9" s="78">
        <v>14</v>
      </c>
      <c r="Q9" s="78" t="s">
        <v>252</v>
      </c>
      <c r="R9" s="78">
        <v>16</v>
      </c>
      <c r="S9" s="78">
        <v>17</v>
      </c>
      <c r="T9" s="78" t="s">
        <v>250</v>
      </c>
      <c r="U9" s="78" t="s">
        <v>251</v>
      </c>
      <c r="V9" s="78">
        <v>13</v>
      </c>
      <c r="W9" s="78">
        <v>14</v>
      </c>
      <c r="X9" s="78" t="s">
        <v>252</v>
      </c>
      <c r="Y9" s="78">
        <v>16</v>
      </c>
      <c r="Z9" s="78">
        <v>17</v>
      </c>
    </row>
    <row r="10" spans="1:26" s="82" customFormat="1" ht="26.25" customHeight="1" x14ac:dyDescent="0.25">
      <c r="A10" s="77"/>
      <c r="B10" s="80" t="s">
        <v>192</v>
      </c>
      <c r="C10" s="81">
        <f t="shared" ref="C10:Z10" si="0">SUM(C11:C12)</f>
        <v>0</v>
      </c>
      <c r="D10" s="81">
        <f t="shared" si="0"/>
        <v>0</v>
      </c>
      <c r="E10" s="81">
        <f t="shared" si="0"/>
        <v>0</v>
      </c>
      <c r="F10" s="81">
        <f t="shared" si="0"/>
        <v>0</v>
      </c>
      <c r="G10" s="81">
        <f t="shared" si="0"/>
        <v>0</v>
      </c>
      <c r="H10" s="81">
        <f t="shared" si="0"/>
        <v>0</v>
      </c>
      <c r="I10" s="81">
        <f t="shared" si="0"/>
        <v>0</v>
      </c>
      <c r="J10" s="81">
        <f t="shared" si="0"/>
        <v>0</v>
      </c>
      <c r="K10" s="81">
        <f t="shared" si="0"/>
        <v>0</v>
      </c>
      <c r="L10" s="81">
        <f t="shared" si="0"/>
        <v>0</v>
      </c>
      <c r="M10" s="81">
        <f t="shared" si="0"/>
        <v>0</v>
      </c>
      <c r="N10" s="81">
        <f t="shared" si="0"/>
        <v>0</v>
      </c>
      <c r="O10" s="81">
        <f t="shared" si="0"/>
        <v>0</v>
      </c>
      <c r="P10" s="81">
        <f t="shared" si="0"/>
        <v>0</v>
      </c>
      <c r="Q10" s="81">
        <f t="shared" si="0"/>
        <v>0</v>
      </c>
      <c r="R10" s="81">
        <f t="shared" si="0"/>
        <v>0</v>
      </c>
      <c r="S10" s="81">
        <f t="shared" si="0"/>
        <v>0</v>
      </c>
      <c r="T10" s="81">
        <f t="shared" si="0"/>
        <v>0</v>
      </c>
      <c r="U10" s="81">
        <f t="shared" si="0"/>
        <v>0</v>
      </c>
      <c r="V10" s="81">
        <f t="shared" si="0"/>
        <v>0</v>
      </c>
      <c r="W10" s="81">
        <f t="shared" si="0"/>
        <v>0</v>
      </c>
      <c r="X10" s="81">
        <f t="shared" si="0"/>
        <v>0</v>
      </c>
      <c r="Y10" s="81">
        <f t="shared" si="0"/>
        <v>0</v>
      </c>
      <c r="Z10" s="81">
        <f t="shared" si="0"/>
        <v>0</v>
      </c>
    </row>
    <row r="11" spans="1:26" ht="20.25" customHeight="1" x14ac:dyDescent="0.25">
      <c r="A11" s="83">
        <v>1</v>
      </c>
      <c r="B11" s="84" t="str">
        <f>'[2]36'!B10</f>
        <v>Phòng Kinh tế</v>
      </c>
      <c r="C11" s="85"/>
      <c r="D11" s="85"/>
      <c r="E11" s="85"/>
      <c r="F11" s="85"/>
      <c r="G11" s="85"/>
      <c r="H11" s="85"/>
      <c r="I11" s="85"/>
      <c r="J11" s="85"/>
      <c r="K11" s="85"/>
      <c r="L11" s="85"/>
      <c r="M11" s="85"/>
      <c r="N11" s="85"/>
      <c r="O11" s="85"/>
      <c r="P11" s="85"/>
      <c r="Q11" s="85"/>
      <c r="R11" s="85"/>
      <c r="S11" s="85"/>
      <c r="T11" s="85"/>
      <c r="U11" s="85"/>
      <c r="V11" s="85"/>
      <c r="W11" s="85"/>
      <c r="X11" s="85"/>
      <c r="Y11" s="85"/>
      <c r="Z11" s="85"/>
    </row>
    <row r="12" spans="1:26" ht="30" customHeight="1" x14ac:dyDescent="0.25">
      <c r="A12" s="83">
        <v>2</v>
      </c>
      <c r="B12" s="84" t="str">
        <f>'[2]36'!B11</f>
        <v>Phòng Văn hóa - Xã hội</v>
      </c>
      <c r="C12" s="85"/>
      <c r="D12" s="85"/>
      <c r="E12" s="85"/>
      <c r="F12" s="83"/>
      <c r="G12" s="83"/>
      <c r="H12" s="83"/>
      <c r="I12" s="83"/>
      <c r="J12" s="83"/>
      <c r="K12" s="83"/>
      <c r="L12" s="83"/>
      <c r="M12" s="85"/>
      <c r="N12" s="83"/>
      <c r="O12" s="83"/>
      <c r="P12" s="83"/>
      <c r="Q12" s="85"/>
      <c r="R12" s="85"/>
      <c r="S12" s="85"/>
      <c r="T12" s="85"/>
      <c r="U12" s="85"/>
      <c r="V12" s="85"/>
      <c r="W12" s="85"/>
      <c r="X12" s="85"/>
      <c r="Y12" s="85"/>
      <c r="Z12" s="85"/>
    </row>
  </sheetData>
  <mergeCells count="23">
    <mergeCell ref="A6:A8"/>
    <mergeCell ref="B6:B8"/>
    <mergeCell ref="C6:C8"/>
    <mergeCell ref="D6:E6"/>
    <mergeCell ref="F6:L6"/>
    <mergeCell ref="D7:D8"/>
    <mergeCell ref="E7:E8"/>
    <mergeCell ref="F7:F8"/>
    <mergeCell ref="G7:I7"/>
    <mergeCell ref="J7:L7"/>
    <mergeCell ref="W1:Z1"/>
    <mergeCell ref="A2:Z2"/>
    <mergeCell ref="A3:Z3"/>
    <mergeCell ref="A4:Z4"/>
    <mergeCell ref="A5:Z5"/>
    <mergeCell ref="T7:T8"/>
    <mergeCell ref="U7:W7"/>
    <mergeCell ref="X7:Z7"/>
    <mergeCell ref="M6:S6"/>
    <mergeCell ref="T6:Z6"/>
    <mergeCell ref="M7:M8"/>
    <mergeCell ref="N7:P7"/>
    <mergeCell ref="Q7:S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2"/>
  <sheetViews>
    <sheetView topLeftCell="A5" workbookViewId="0">
      <pane ySplit="2" topLeftCell="A13" activePane="bottomLeft" state="frozen"/>
      <selection activeCell="A5" sqref="A5"/>
      <selection pane="bottomLeft" activeCell="C25" sqref="C25"/>
    </sheetView>
  </sheetViews>
  <sheetFormatPr defaultColWidth="9" defaultRowHeight="15.75" x14ac:dyDescent="0.25"/>
  <cols>
    <col min="1" max="1" width="4.85546875" style="157" customWidth="1"/>
    <col min="2" max="2" width="32.85546875" style="157" customWidth="1"/>
    <col min="3" max="3" width="15.7109375" style="157" customWidth="1"/>
    <col min="4" max="4" width="16.140625" style="157" customWidth="1"/>
    <col min="5" max="6" width="15.85546875" style="157" customWidth="1"/>
    <col min="7" max="7" width="15.42578125" style="157" customWidth="1"/>
    <col min="8" max="8" width="14.42578125" style="157" bestFit="1" customWidth="1"/>
    <col min="9" max="9" width="14.85546875" style="157" customWidth="1"/>
    <col min="10" max="16384" width="9" style="157"/>
  </cols>
  <sheetData>
    <row r="1" spans="1:10" s="536" customFormat="1" ht="22.5" customHeight="1" x14ac:dyDescent="0.25">
      <c r="A1" s="875" t="s">
        <v>420</v>
      </c>
      <c r="B1" s="875"/>
      <c r="C1" s="875"/>
      <c r="D1" s="875"/>
      <c r="E1" s="875"/>
      <c r="F1" s="875"/>
      <c r="G1" s="875"/>
    </row>
    <row r="2" spans="1:10" s="536" customFormat="1" ht="22.5" customHeight="1" x14ac:dyDescent="0.25">
      <c r="A2" s="875" t="s">
        <v>808</v>
      </c>
      <c r="B2" s="875"/>
      <c r="C2" s="875"/>
      <c r="D2" s="875"/>
      <c r="E2" s="875"/>
      <c r="F2" s="875"/>
      <c r="G2" s="875"/>
    </row>
    <row r="3" spans="1:10" s="536" customFormat="1" ht="21" customHeight="1" x14ac:dyDescent="0.25">
      <c r="A3" s="904" t="str">
        <f>'[3]35'!A4:Q4</f>
        <v>(Kèm theo Quyết định số: 410/QĐ-UBND ngày  11/9/2025 của UBND xã Cao Minh)</v>
      </c>
      <c r="B3" s="904"/>
      <c r="C3" s="904"/>
      <c r="D3" s="904"/>
      <c r="E3" s="904"/>
      <c r="F3" s="904"/>
      <c r="G3" s="904"/>
    </row>
    <row r="4" spans="1:10" s="536" customFormat="1" ht="20.25" customHeight="1" x14ac:dyDescent="0.25">
      <c r="A4" s="537"/>
      <c r="B4" s="538"/>
      <c r="C4" s="538"/>
      <c r="D4" s="538"/>
      <c r="E4" s="538"/>
      <c r="F4" s="905" t="s">
        <v>152</v>
      </c>
      <c r="G4" s="905"/>
    </row>
    <row r="5" spans="1:10" ht="21.75" customHeight="1" x14ac:dyDescent="0.25">
      <c r="A5" s="906" t="s">
        <v>0</v>
      </c>
      <c r="B5" s="907" t="s">
        <v>59</v>
      </c>
      <c r="C5" s="907" t="s">
        <v>809</v>
      </c>
      <c r="D5" s="907" t="s">
        <v>872</v>
      </c>
      <c r="E5" s="908" t="s">
        <v>873</v>
      </c>
      <c r="F5" s="909"/>
      <c r="G5" s="907" t="s">
        <v>810</v>
      </c>
    </row>
    <row r="6" spans="1:10" ht="83.25" customHeight="1" x14ac:dyDescent="0.25">
      <c r="A6" s="906"/>
      <c r="B6" s="907"/>
      <c r="C6" s="907"/>
      <c r="D6" s="907"/>
      <c r="E6" s="540" t="s">
        <v>874</v>
      </c>
      <c r="F6" s="541" t="s">
        <v>522</v>
      </c>
      <c r="G6" s="907"/>
    </row>
    <row r="7" spans="1:10" ht="21" customHeight="1" x14ac:dyDescent="0.25">
      <c r="A7" s="542" t="s">
        <v>6</v>
      </c>
      <c r="B7" s="542" t="s">
        <v>7</v>
      </c>
      <c r="C7" s="542">
        <v>1</v>
      </c>
      <c r="D7" s="542">
        <v>2</v>
      </c>
      <c r="E7" s="542">
        <v>4</v>
      </c>
      <c r="F7" s="542">
        <v>5</v>
      </c>
      <c r="G7" s="542">
        <v>7</v>
      </c>
    </row>
    <row r="8" spans="1:10" ht="24.75" customHeight="1" x14ac:dyDescent="0.25">
      <c r="A8" s="539"/>
      <c r="B8" s="539" t="s">
        <v>811</v>
      </c>
      <c r="C8" s="543">
        <f>C9+C57</f>
        <v>167061000000</v>
      </c>
      <c r="D8" s="543">
        <f>D9+D57</f>
        <v>164845000000</v>
      </c>
      <c r="E8" s="543">
        <f>E9+E57</f>
        <v>145648643000</v>
      </c>
      <c r="F8" s="543">
        <f>F9+F57</f>
        <v>1684970999.9990001</v>
      </c>
      <c r="G8" s="543">
        <f>G9+G57</f>
        <v>17158357000</v>
      </c>
      <c r="H8" s="563">
        <f>'37'!D9</f>
        <v>145648643000</v>
      </c>
      <c r="I8" s="563">
        <f>E8-H8</f>
        <v>0</v>
      </c>
    </row>
    <row r="9" spans="1:10" s="546" customFormat="1" ht="24.75" customHeight="1" x14ac:dyDescent="0.25">
      <c r="A9" s="539" t="s">
        <v>6</v>
      </c>
      <c r="B9" s="544" t="s">
        <v>812</v>
      </c>
      <c r="C9" s="543">
        <f>C10+C15+C56</f>
        <v>167061000000</v>
      </c>
      <c r="D9" s="543">
        <f>D10+D15+D56</f>
        <v>164845000000</v>
      </c>
      <c r="E9" s="543">
        <f>E10+E15+E56</f>
        <v>145648643000</v>
      </c>
      <c r="F9" s="543">
        <f>F10+F15+F56</f>
        <v>1684970999.9990001</v>
      </c>
      <c r="G9" s="543">
        <f>G10+G15+G56</f>
        <v>17158357000</v>
      </c>
      <c r="H9" s="546">
        <v>167953000000</v>
      </c>
      <c r="I9" s="545">
        <f>H9-C8</f>
        <v>892000000</v>
      </c>
    </row>
    <row r="10" spans="1:10" s="546" customFormat="1" ht="24.75" customHeight="1" x14ac:dyDescent="0.25">
      <c r="A10" s="539" t="s">
        <v>23</v>
      </c>
      <c r="B10" s="544" t="s">
        <v>39</v>
      </c>
      <c r="C10" s="543">
        <f>C11+C12</f>
        <v>2038000000</v>
      </c>
      <c r="D10" s="543">
        <f>D11+D12</f>
        <v>2038000000</v>
      </c>
      <c r="E10" s="543"/>
      <c r="F10" s="543"/>
      <c r="G10" s="543"/>
    </row>
    <row r="11" spans="1:10" ht="25.5" customHeight="1" x14ac:dyDescent="0.25">
      <c r="A11" s="547">
        <v>1</v>
      </c>
      <c r="B11" s="548" t="s">
        <v>875</v>
      </c>
      <c r="C11" s="549">
        <v>2000000000</v>
      </c>
      <c r="D11" s="549">
        <f>C11</f>
        <v>2000000000</v>
      </c>
      <c r="E11" s="549"/>
      <c r="F11" s="549"/>
      <c r="G11" s="549"/>
    </row>
    <row r="12" spans="1:10" ht="25.5" customHeight="1" x14ac:dyDescent="0.25">
      <c r="A12" s="547">
        <v>2</v>
      </c>
      <c r="B12" s="548" t="s">
        <v>876</v>
      </c>
      <c r="C12" s="549">
        <f>C13+C14</f>
        <v>38000000</v>
      </c>
      <c r="D12" s="549">
        <f>D13+D14</f>
        <v>38000000</v>
      </c>
      <c r="E12" s="549"/>
      <c r="F12" s="549"/>
      <c r="G12" s="549"/>
    </row>
    <row r="13" spans="1:10" s="566" customFormat="1" ht="58.5" customHeight="1" x14ac:dyDescent="0.25">
      <c r="A13" s="542" t="s">
        <v>287</v>
      </c>
      <c r="B13" s="564" t="s">
        <v>877</v>
      </c>
      <c r="C13" s="565">
        <v>36000000</v>
      </c>
      <c r="D13" s="565">
        <f>C13</f>
        <v>36000000</v>
      </c>
      <c r="E13" s="565"/>
      <c r="F13" s="565"/>
      <c r="G13" s="565"/>
    </row>
    <row r="14" spans="1:10" s="566" customFormat="1" ht="39.75" customHeight="1" x14ac:dyDescent="0.25">
      <c r="A14" s="542" t="s">
        <v>287</v>
      </c>
      <c r="B14" s="564" t="s">
        <v>878</v>
      </c>
      <c r="C14" s="565">
        <v>2000000</v>
      </c>
      <c r="D14" s="565">
        <f>C14</f>
        <v>2000000</v>
      </c>
      <c r="E14" s="565"/>
      <c r="F14" s="565"/>
      <c r="G14" s="565"/>
    </row>
    <row r="15" spans="1:10" s="546" customFormat="1" ht="24.75" customHeight="1" x14ac:dyDescent="0.25">
      <c r="A15" s="539" t="s">
        <v>27</v>
      </c>
      <c r="B15" s="544" t="s">
        <v>40</v>
      </c>
      <c r="C15" s="543">
        <f>C16+C20+C21+C25+C38+C42+C51+C52+C53+C54+C55</f>
        <v>165023000000</v>
      </c>
      <c r="D15" s="543">
        <f>D16+D20+D21+D25+D38+D42+D51+D52+D53+D54+D55</f>
        <v>162807000000</v>
      </c>
      <c r="E15" s="543">
        <f>E16+E20+E21+E25+E38+E42+E51+E52+E53+E54+E55</f>
        <v>145648643000</v>
      </c>
      <c r="F15" s="543">
        <f>F16+F20+F21+F25+F38+F42+F51+F52+F53+F54+F55</f>
        <v>1684970999.9990001</v>
      </c>
      <c r="G15" s="543">
        <f>G16+G20+G21+G25+G38+G42+G51+G52+G53+G54+G55</f>
        <v>17158357000</v>
      </c>
      <c r="I15" s="545">
        <f>D15-E15-G15</f>
        <v>0</v>
      </c>
    </row>
    <row r="16" spans="1:10" s="546" customFormat="1" ht="24.75" customHeight="1" x14ac:dyDescent="0.25">
      <c r="A16" s="539" t="s">
        <v>494</v>
      </c>
      <c r="B16" s="544" t="s">
        <v>813</v>
      </c>
      <c r="C16" s="543">
        <v>7138000000</v>
      </c>
      <c r="D16" s="543">
        <f>SUM(D17:D19)</f>
        <v>7138000000</v>
      </c>
      <c r="E16" s="543">
        <f t="shared" ref="E16:G16" si="0">SUM(E17:E19)</f>
        <v>2163000000</v>
      </c>
      <c r="F16" s="543">
        <f t="shared" si="0"/>
        <v>0</v>
      </c>
      <c r="G16" s="543">
        <f t="shared" si="0"/>
        <v>4975000000</v>
      </c>
      <c r="H16" s="545">
        <f>'37'!N9</f>
        <v>2163000000</v>
      </c>
      <c r="I16" s="545">
        <f>D16-E16-G16</f>
        <v>0</v>
      </c>
      <c r="J16" s="545"/>
    </row>
    <row r="17" spans="1:10" ht="24.75" customHeight="1" x14ac:dyDescent="0.25">
      <c r="A17" s="547">
        <v>1</v>
      </c>
      <c r="B17" s="548" t="s">
        <v>165</v>
      </c>
      <c r="C17" s="549">
        <f>C16-C18-C19</f>
        <v>5910000000</v>
      </c>
      <c r="D17" s="549">
        <f>C17</f>
        <v>5910000000</v>
      </c>
      <c r="E17" s="549">
        <f>'37'!N9-E18-E19</f>
        <v>935000000</v>
      </c>
      <c r="F17" s="549"/>
      <c r="G17" s="549">
        <f>D17-E17</f>
        <v>4975000000</v>
      </c>
      <c r="J17" s="545"/>
    </row>
    <row r="18" spans="1:10" ht="38.25" customHeight="1" x14ac:dyDescent="0.25">
      <c r="A18" s="547">
        <v>2</v>
      </c>
      <c r="B18" s="550" t="s">
        <v>814</v>
      </c>
      <c r="C18" s="549">
        <v>404000000</v>
      </c>
      <c r="D18" s="549">
        <f>C18</f>
        <v>404000000</v>
      </c>
      <c r="E18" s="549">
        <f>D18</f>
        <v>404000000</v>
      </c>
      <c r="F18" s="549"/>
      <c r="G18" s="549">
        <f t="shared" ref="G18:G19" si="1">D18-E18</f>
        <v>0</v>
      </c>
      <c r="J18" s="545"/>
    </row>
    <row r="19" spans="1:10" ht="57.75" customHeight="1" x14ac:dyDescent="0.25">
      <c r="A19" s="547">
        <v>3</v>
      </c>
      <c r="B19" s="550" t="s">
        <v>815</v>
      </c>
      <c r="C19" s="549">
        <v>824000000</v>
      </c>
      <c r="D19" s="549">
        <f>C19</f>
        <v>824000000</v>
      </c>
      <c r="E19" s="549">
        <f>D19</f>
        <v>824000000</v>
      </c>
      <c r="F19" s="549"/>
      <c r="G19" s="549">
        <f t="shared" si="1"/>
        <v>0</v>
      </c>
      <c r="J19" s="545"/>
    </row>
    <row r="20" spans="1:10" s="546" customFormat="1" ht="25.5" customHeight="1" x14ac:dyDescent="0.25">
      <c r="A20" s="539" t="s">
        <v>495</v>
      </c>
      <c r="B20" s="544" t="s">
        <v>584</v>
      </c>
      <c r="C20" s="543">
        <v>805000000</v>
      </c>
      <c r="D20" s="543">
        <f>C20</f>
        <v>805000000</v>
      </c>
      <c r="E20" s="543">
        <f>'37'!M9</f>
        <v>500000000</v>
      </c>
      <c r="F20" s="543"/>
      <c r="G20" s="543">
        <f>D20-E20</f>
        <v>305000000</v>
      </c>
      <c r="H20" s="545">
        <f>'37'!M9</f>
        <v>500000000</v>
      </c>
      <c r="I20" s="545">
        <f>G21-I21</f>
        <v>-793264724</v>
      </c>
      <c r="J20" s="545"/>
    </row>
    <row r="21" spans="1:10" s="546" customFormat="1" ht="25.5" customHeight="1" x14ac:dyDescent="0.25">
      <c r="A21" s="539" t="s">
        <v>816</v>
      </c>
      <c r="B21" s="544" t="s">
        <v>817</v>
      </c>
      <c r="C21" s="543">
        <v>29209000000</v>
      </c>
      <c r="D21" s="543">
        <f>'34'!C27+D23+D24</f>
        <v>27123000000</v>
      </c>
      <c r="E21" s="543">
        <f>SUM(E22:E24)</f>
        <v>26110775000</v>
      </c>
      <c r="F21" s="543">
        <f t="shared" ref="F21:G21" si="2">SUM(F22:F24)</f>
        <v>288000000</v>
      </c>
      <c r="G21" s="543">
        <f t="shared" si="2"/>
        <v>1012225000</v>
      </c>
      <c r="H21" s="545">
        <f>'37'!Q9</f>
        <v>26110775000</v>
      </c>
      <c r="I21" s="545">
        <f>I22+I23</f>
        <v>1805489724</v>
      </c>
      <c r="J21" s="545" t="s">
        <v>881</v>
      </c>
    </row>
    <row r="22" spans="1:10" ht="39" customHeight="1" x14ac:dyDescent="0.25">
      <c r="A22" s="547">
        <v>1</v>
      </c>
      <c r="B22" s="551" t="s">
        <v>818</v>
      </c>
      <c r="C22" s="549">
        <f>C21-C23-C24</f>
        <v>24864000000</v>
      </c>
      <c r="D22" s="549">
        <f>D21-D23-D24</f>
        <v>22778000000</v>
      </c>
      <c r="E22" s="549">
        <f>'37'!Q9-E23-E24</f>
        <v>21954887000</v>
      </c>
      <c r="F22" s="549">
        <f>'37'!T10+'37'!T15+'37'!T16</f>
        <v>288000000</v>
      </c>
      <c r="G22" s="549">
        <f t="shared" ref="G22:G24" si="3">D22-E22</f>
        <v>823113000</v>
      </c>
      <c r="I22" s="157">
        <v>1325489724</v>
      </c>
      <c r="J22" s="545"/>
    </row>
    <row r="23" spans="1:10" ht="39" customHeight="1" x14ac:dyDescent="0.25">
      <c r="A23" s="547">
        <v>2</v>
      </c>
      <c r="B23" s="551" t="s">
        <v>819</v>
      </c>
      <c r="C23" s="549">
        <v>81000000</v>
      </c>
      <c r="D23" s="549">
        <f>C23</f>
        <v>81000000</v>
      </c>
      <c r="E23" s="549">
        <f>D23</f>
        <v>81000000</v>
      </c>
      <c r="F23" s="549"/>
      <c r="G23" s="549">
        <f t="shared" si="3"/>
        <v>0</v>
      </c>
      <c r="I23" s="157">
        <v>480000000</v>
      </c>
      <c r="J23" s="545"/>
    </row>
    <row r="24" spans="1:10" ht="56.25" customHeight="1" x14ac:dyDescent="0.25">
      <c r="A24" s="547">
        <v>3</v>
      </c>
      <c r="B24" s="551" t="s">
        <v>882</v>
      </c>
      <c r="C24" s="549">
        <v>4264000000</v>
      </c>
      <c r="D24" s="549">
        <f>C24</f>
        <v>4264000000</v>
      </c>
      <c r="E24" s="549">
        <f>'Biểu 02'!K14+'Biểu 02'!K67+'Biểu 02'!K116+'Biểu 02'!K328+'Biểu 02'!K230</f>
        <v>4074888000</v>
      </c>
      <c r="F24" s="549"/>
      <c r="G24" s="549">
        <f t="shared" si="3"/>
        <v>189112000</v>
      </c>
      <c r="J24" s="545"/>
    </row>
    <row r="25" spans="1:10" s="546" customFormat="1" ht="39.75" customHeight="1" x14ac:dyDescent="0.25">
      <c r="A25" s="539" t="s">
        <v>820</v>
      </c>
      <c r="B25" s="544" t="s">
        <v>821</v>
      </c>
      <c r="C25" s="543">
        <v>106728000000</v>
      </c>
      <c r="D25" s="543">
        <f>SUM(D26:D37)</f>
        <v>106728000000</v>
      </c>
      <c r="E25" s="543">
        <f>SUM(E26:E37)</f>
        <v>100243868000</v>
      </c>
      <c r="F25" s="543">
        <f>SUM(F26:F37)</f>
        <v>1396970999.9990001</v>
      </c>
      <c r="G25" s="543">
        <f>SUM(G26:G37)</f>
        <v>6484132000</v>
      </c>
      <c r="H25" s="545">
        <f>'37'!E9</f>
        <v>100243868000</v>
      </c>
      <c r="I25" s="545">
        <f>D25-E25-G25</f>
        <v>0</v>
      </c>
      <c r="J25" s="545"/>
    </row>
    <row r="26" spans="1:10" ht="45" customHeight="1" x14ac:dyDescent="0.25">
      <c r="A26" s="547">
        <v>1</v>
      </c>
      <c r="B26" s="550" t="s">
        <v>822</v>
      </c>
      <c r="C26" s="549">
        <f>C25-SUM(C27:C37)</f>
        <v>73557000000</v>
      </c>
      <c r="D26" s="549">
        <f t="shared" ref="D26:D37" si="4">C26</f>
        <v>73557000000</v>
      </c>
      <c r="E26" s="549">
        <f>'37'!E9-SUM(E27:E37)</f>
        <v>68021218000</v>
      </c>
      <c r="F26" s="549">
        <f>'37'!T20-F30</f>
        <v>448620999.99900007</v>
      </c>
      <c r="G26" s="549">
        <f>D26-E26</f>
        <v>5535782000</v>
      </c>
      <c r="J26" s="545"/>
    </row>
    <row r="27" spans="1:10" ht="43.5" customHeight="1" x14ac:dyDescent="0.25">
      <c r="A27" s="547">
        <v>2</v>
      </c>
      <c r="B27" s="550" t="s">
        <v>823</v>
      </c>
      <c r="C27" s="549">
        <v>1504000000</v>
      </c>
      <c r="D27" s="549">
        <f t="shared" si="4"/>
        <v>1504000000</v>
      </c>
      <c r="E27" s="549">
        <f>'Biểu CSHS'!C20</f>
        <v>1504000000</v>
      </c>
      <c r="F27" s="549"/>
      <c r="G27" s="549">
        <f t="shared" ref="G27:G50" si="5">D27-E27</f>
        <v>0</v>
      </c>
      <c r="J27" s="545"/>
    </row>
    <row r="28" spans="1:10" ht="57.75" customHeight="1" x14ac:dyDescent="0.25">
      <c r="A28" s="547">
        <v>3</v>
      </c>
      <c r="B28" s="550" t="s">
        <v>824</v>
      </c>
      <c r="C28" s="549">
        <v>2150000000</v>
      </c>
      <c r="D28" s="549">
        <f t="shared" si="4"/>
        <v>2150000000</v>
      </c>
      <c r="E28" s="549">
        <f>'Biểu CSHS'!C28</f>
        <v>2150000000</v>
      </c>
      <c r="F28" s="549"/>
      <c r="G28" s="549">
        <f t="shared" si="5"/>
        <v>0</v>
      </c>
      <c r="J28" s="545"/>
    </row>
    <row r="29" spans="1:10" ht="40.5" customHeight="1" x14ac:dyDescent="0.25">
      <c r="A29" s="547">
        <v>4</v>
      </c>
      <c r="B29" s="550" t="s">
        <v>825</v>
      </c>
      <c r="C29" s="549">
        <v>18990000000</v>
      </c>
      <c r="D29" s="549">
        <f t="shared" si="4"/>
        <v>18990000000</v>
      </c>
      <c r="E29" s="549">
        <f>'Biểu CSHS'!C80</f>
        <v>18990000000</v>
      </c>
      <c r="F29" s="549"/>
      <c r="G29" s="549">
        <f t="shared" si="5"/>
        <v>0</v>
      </c>
      <c r="J29" s="545"/>
    </row>
    <row r="30" spans="1:10" ht="40.5" customHeight="1" x14ac:dyDescent="0.25">
      <c r="A30" s="547">
        <v>5</v>
      </c>
      <c r="B30" s="550" t="s">
        <v>826</v>
      </c>
      <c r="C30" s="549">
        <v>7345000000</v>
      </c>
      <c r="D30" s="549">
        <f t="shared" si="4"/>
        <v>7345000000</v>
      </c>
      <c r="E30" s="549">
        <f>'Biểu CSHS'!E38</f>
        <v>6396650000</v>
      </c>
      <c r="F30" s="549">
        <f>'Biểu CSHS'!D7</f>
        <v>948350000</v>
      </c>
      <c r="G30" s="549">
        <f t="shared" si="5"/>
        <v>948350000</v>
      </c>
      <c r="J30" s="545"/>
    </row>
    <row r="31" spans="1:10" ht="40.5" customHeight="1" x14ac:dyDescent="0.25">
      <c r="A31" s="547">
        <v>6</v>
      </c>
      <c r="B31" s="550" t="s">
        <v>827</v>
      </c>
      <c r="C31" s="549">
        <v>1141000000</v>
      </c>
      <c r="D31" s="549">
        <f t="shared" si="4"/>
        <v>1141000000</v>
      </c>
      <c r="E31" s="549">
        <f>'Biểu CSHS'!E70</f>
        <v>1141000000</v>
      </c>
      <c r="F31" s="549"/>
      <c r="G31" s="549">
        <f t="shared" si="5"/>
        <v>0</v>
      </c>
      <c r="J31" s="545"/>
    </row>
    <row r="32" spans="1:10" ht="57.75" customHeight="1" x14ac:dyDescent="0.25">
      <c r="A32" s="547">
        <v>7</v>
      </c>
      <c r="B32" s="550" t="s">
        <v>614</v>
      </c>
      <c r="C32" s="549">
        <v>250000000</v>
      </c>
      <c r="D32" s="549">
        <f t="shared" si="4"/>
        <v>250000000</v>
      </c>
      <c r="E32" s="549">
        <f>'Biểu CSHS'!E98</f>
        <v>250000000</v>
      </c>
      <c r="F32" s="549"/>
      <c r="G32" s="549">
        <f t="shared" si="5"/>
        <v>0</v>
      </c>
      <c r="J32" s="545"/>
    </row>
    <row r="33" spans="1:10" ht="74.25" customHeight="1" x14ac:dyDescent="0.25">
      <c r="A33" s="547">
        <v>8</v>
      </c>
      <c r="B33" s="550" t="s">
        <v>771</v>
      </c>
      <c r="C33" s="549">
        <v>201000000</v>
      </c>
      <c r="D33" s="549">
        <f t="shared" si="4"/>
        <v>201000000</v>
      </c>
      <c r="E33" s="549">
        <f>'Biểu CSHS'!E94</f>
        <v>201000000</v>
      </c>
      <c r="F33" s="549"/>
      <c r="G33" s="549">
        <f t="shared" si="5"/>
        <v>0</v>
      </c>
      <c r="J33" s="545"/>
    </row>
    <row r="34" spans="1:10" ht="57.75" customHeight="1" x14ac:dyDescent="0.25">
      <c r="A34" s="547">
        <v>10</v>
      </c>
      <c r="B34" s="550" t="s">
        <v>828</v>
      </c>
      <c r="C34" s="549">
        <v>1144000000</v>
      </c>
      <c r="D34" s="549">
        <f t="shared" si="4"/>
        <v>1144000000</v>
      </c>
      <c r="E34" s="549">
        <f>'Biểu CSHS'!E24</f>
        <v>1144000000</v>
      </c>
      <c r="F34" s="549"/>
      <c r="G34" s="549">
        <f t="shared" si="5"/>
        <v>0</v>
      </c>
      <c r="J34" s="545"/>
    </row>
    <row r="35" spans="1:10" ht="56.25" customHeight="1" x14ac:dyDescent="0.25">
      <c r="A35" s="547">
        <v>11</v>
      </c>
      <c r="B35" s="550" t="s">
        <v>829</v>
      </c>
      <c r="C35" s="549">
        <v>185000000</v>
      </c>
      <c r="D35" s="549">
        <f t="shared" si="4"/>
        <v>185000000</v>
      </c>
      <c r="E35" s="549">
        <f>'Biểu CSHS'!E90</f>
        <v>185000000</v>
      </c>
      <c r="F35" s="549"/>
      <c r="G35" s="549">
        <f t="shared" si="5"/>
        <v>0</v>
      </c>
      <c r="J35" s="545"/>
    </row>
    <row r="36" spans="1:10" ht="26.25" customHeight="1" x14ac:dyDescent="0.25">
      <c r="A36" s="547">
        <v>12</v>
      </c>
      <c r="B36" s="550" t="s">
        <v>789</v>
      </c>
      <c r="C36" s="549">
        <v>35000000</v>
      </c>
      <c r="D36" s="549">
        <f t="shared" si="4"/>
        <v>35000000</v>
      </c>
      <c r="E36" s="549">
        <f>'Biểu 02'!K807</f>
        <v>35000000</v>
      </c>
      <c r="F36" s="549"/>
      <c r="G36" s="549">
        <f t="shared" si="5"/>
        <v>0</v>
      </c>
      <c r="J36" s="545"/>
    </row>
    <row r="37" spans="1:10" ht="60" customHeight="1" x14ac:dyDescent="0.25">
      <c r="A37" s="547">
        <v>13</v>
      </c>
      <c r="B37" s="550" t="s">
        <v>830</v>
      </c>
      <c r="C37" s="549">
        <v>226000000</v>
      </c>
      <c r="D37" s="549">
        <f t="shared" si="4"/>
        <v>226000000</v>
      </c>
      <c r="E37" s="549">
        <f>'Biểu 02'!K808</f>
        <v>226000000</v>
      </c>
      <c r="F37" s="549"/>
      <c r="G37" s="549">
        <f t="shared" si="5"/>
        <v>0</v>
      </c>
      <c r="J37" s="545"/>
    </row>
    <row r="38" spans="1:10" s="546" customFormat="1" ht="44.25" customHeight="1" x14ac:dyDescent="0.25">
      <c r="A38" s="539" t="s">
        <v>831</v>
      </c>
      <c r="B38" s="552" t="s">
        <v>832</v>
      </c>
      <c r="C38" s="543">
        <f>SUM(C39:C41)</f>
        <v>650000000</v>
      </c>
      <c r="D38" s="543">
        <f t="shared" ref="D38:G38" si="6">SUM(D39:D41)</f>
        <v>650000000</v>
      </c>
      <c r="E38" s="543">
        <f t="shared" si="6"/>
        <v>650000000</v>
      </c>
      <c r="F38" s="543">
        <f t="shared" si="6"/>
        <v>0</v>
      </c>
      <c r="G38" s="543">
        <f t="shared" si="6"/>
        <v>0</v>
      </c>
      <c r="J38" s="545"/>
    </row>
    <row r="39" spans="1:10" ht="29.25" customHeight="1" x14ac:dyDescent="0.25">
      <c r="A39" s="547">
        <v>1</v>
      </c>
      <c r="B39" s="550" t="s">
        <v>833</v>
      </c>
      <c r="C39" s="549">
        <v>300000000</v>
      </c>
      <c r="D39" s="549">
        <f>C39</f>
        <v>300000000</v>
      </c>
      <c r="E39" s="549">
        <f>'37'!J9</f>
        <v>300000000</v>
      </c>
      <c r="F39" s="549"/>
      <c r="G39" s="549">
        <f t="shared" si="5"/>
        <v>0</v>
      </c>
      <c r="H39" s="563">
        <f>'37'!J9</f>
        <v>300000000</v>
      </c>
      <c r="J39" s="545"/>
    </row>
    <row r="40" spans="1:10" ht="29.25" customHeight="1" x14ac:dyDescent="0.25">
      <c r="A40" s="547">
        <v>2</v>
      </c>
      <c r="B40" s="548" t="s">
        <v>834</v>
      </c>
      <c r="C40" s="549">
        <v>200000000</v>
      </c>
      <c r="D40" s="549">
        <f>C40</f>
        <v>200000000</v>
      </c>
      <c r="E40" s="549">
        <f>'37'!L9</f>
        <v>200000000</v>
      </c>
      <c r="F40" s="549"/>
      <c r="G40" s="549">
        <f t="shared" si="5"/>
        <v>0</v>
      </c>
      <c r="H40" s="563">
        <f>'37'!L9</f>
        <v>200000000</v>
      </c>
      <c r="J40" s="545"/>
    </row>
    <row r="41" spans="1:10" ht="29.25" customHeight="1" x14ac:dyDescent="0.25">
      <c r="A41" s="547">
        <v>3</v>
      </c>
      <c r="B41" s="548" t="s">
        <v>835</v>
      </c>
      <c r="C41" s="549">
        <v>150000000</v>
      </c>
      <c r="D41" s="549">
        <f>C41</f>
        <v>150000000</v>
      </c>
      <c r="E41" s="549">
        <f>'37'!K9</f>
        <v>150000000</v>
      </c>
      <c r="F41" s="549"/>
      <c r="G41" s="549">
        <f t="shared" si="5"/>
        <v>0</v>
      </c>
      <c r="H41" s="563">
        <f>'37'!K9</f>
        <v>150000000</v>
      </c>
      <c r="J41" s="545"/>
    </row>
    <row r="42" spans="1:10" s="546" customFormat="1" ht="25.5" customHeight="1" x14ac:dyDescent="0.25">
      <c r="A42" s="539" t="s">
        <v>836</v>
      </c>
      <c r="B42" s="544" t="s">
        <v>164</v>
      </c>
      <c r="C42" s="543">
        <f>SUM(C43:C50)</f>
        <v>12934000000</v>
      </c>
      <c r="D42" s="543">
        <f>C42+100000000</f>
        <v>13034000000</v>
      </c>
      <c r="E42" s="543">
        <f t="shared" ref="E42:G42" si="7">SUM(E43:E50)</f>
        <v>12434000000</v>
      </c>
      <c r="F42" s="543">
        <f t="shared" si="7"/>
        <v>0</v>
      </c>
      <c r="G42" s="543">
        <f t="shared" si="7"/>
        <v>600000000</v>
      </c>
      <c r="H42" s="545">
        <f>'37'!R9</f>
        <v>12434000000</v>
      </c>
      <c r="I42" s="545">
        <f>D42-E42-G42</f>
        <v>0</v>
      </c>
      <c r="J42" s="545"/>
    </row>
    <row r="43" spans="1:10" ht="25.5" customHeight="1" x14ac:dyDescent="0.25">
      <c r="A43" s="547">
        <v>1</v>
      </c>
      <c r="B43" s="548" t="s">
        <v>164</v>
      </c>
      <c r="C43" s="549">
        <v>100000000</v>
      </c>
      <c r="D43" s="549">
        <f>C43+100000000</f>
        <v>200000000</v>
      </c>
      <c r="E43" s="549">
        <f>'37'!R9-SUM(E44:E50)</f>
        <v>200000000</v>
      </c>
      <c r="F43" s="549"/>
      <c r="G43" s="549">
        <f t="shared" si="5"/>
        <v>0</v>
      </c>
      <c r="J43" s="545"/>
    </row>
    <row r="44" spans="1:10" ht="57.75" customHeight="1" x14ac:dyDescent="0.25">
      <c r="A44" s="547">
        <v>2</v>
      </c>
      <c r="B44" s="550" t="s">
        <v>604</v>
      </c>
      <c r="C44" s="549">
        <v>8871000000</v>
      </c>
      <c r="D44" s="549">
        <f t="shared" ref="D44:D53" si="8">C44</f>
        <v>8871000000</v>
      </c>
      <c r="E44" s="549">
        <f>'Biểu 02'!K127</f>
        <v>8871000000</v>
      </c>
      <c r="F44" s="549"/>
      <c r="G44" s="549">
        <f t="shared" si="5"/>
        <v>0</v>
      </c>
      <c r="J44" s="545"/>
    </row>
    <row r="45" spans="1:10" ht="44.25" customHeight="1" x14ac:dyDescent="0.25">
      <c r="A45" s="547">
        <v>3</v>
      </c>
      <c r="B45" s="553" t="s">
        <v>586</v>
      </c>
      <c r="C45" s="549">
        <v>821000000</v>
      </c>
      <c r="D45" s="549">
        <f t="shared" si="8"/>
        <v>821000000</v>
      </c>
      <c r="E45" s="549">
        <f>'Biểu 02'!K80</f>
        <v>821000000</v>
      </c>
      <c r="F45" s="549"/>
      <c r="G45" s="549">
        <f t="shared" si="5"/>
        <v>0</v>
      </c>
      <c r="J45" s="545"/>
    </row>
    <row r="46" spans="1:10" ht="72.75" customHeight="1" x14ac:dyDescent="0.25">
      <c r="A46" s="547">
        <v>4</v>
      </c>
      <c r="B46" s="553" t="s">
        <v>837</v>
      </c>
      <c r="C46" s="549">
        <v>168000000</v>
      </c>
      <c r="D46" s="549">
        <f t="shared" si="8"/>
        <v>168000000</v>
      </c>
      <c r="E46" s="549">
        <f>'Biểu 02'!K18</f>
        <v>168000000</v>
      </c>
      <c r="F46" s="549"/>
      <c r="G46" s="549">
        <f t="shared" si="5"/>
        <v>0</v>
      </c>
      <c r="J46" s="545"/>
    </row>
    <row r="47" spans="1:10" ht="75" customHeight="1" x14ac:dyDescent="0.25">
      <c r="A47" s="547">
        <v>5</v>
      </c>
      <c r="B47" s="553" t="s">
        <v>838</v>
      </c>
      <c r="C47" s="549">
        <v>24000000</v>
      </c>
      <c r="D47" s="549">
        <f t="shared" si="8"/>
        <v>24000000</v>
      </c>
      <c r="E47" s="549">
        <f>'Biểu 02'!K131</f>
        <v>24000000</v>
      </c>
      <c r="F47" s="549"/>
      <c r="G47" s="549">
        <f t="shared" si="5"/>
        <v>0</v>
      </c>
      <c r="J47" s="545"/>
    </row>
    <row r="48" spans="1:10" ht="58.5" customHeight="1" x14ac:dyDescent="0.25">
      <c r="A48" s="547">
        <v>6</v>
      </c>
      <c r="B48" s="553" t="s">
        <v>839</v>
      </c>
      <c r="C48" s="549">
        <v>2280000000</v>
      </c>
      <c r="D48" s="549">
        <f t="shared" si="8"/>
        <v>2280000000</v>
      </c>
      <c r="E48" s="549">
        <f>'Biểu 02'!K128</f>
        <v>2280000000</v>
      </c>
      <c r="F48" s="549"/>
      <c r="G48" s="549">
        <f t="shared" si="5"/>
        <v>0</v>
      </c>
      <c r="J48" s="545"/>
    </row>
    <row r="49" spans="1:10" ht="38.25" customHeight="1" x14ac:dyDescent="0.25">
      <c r="A49" s="547">
        <v>7</v>
      </c>
      <c r="B49" s="553" t="s">
        <v>840</v>
      </c>
      <c r="C49" s="549">
        <v>600000000</v>
      </c>
      <c r="D49" s="549">
        <f t="shared" si="8"/>
        <v>600000000</v>
      </c>
      <c r="E49" s="549"/>
      <c r="F49" s="549"/>
      <c r="G49" s="549">
        <f t="shared" si="5"/>
        <v>600000000</v>
      </c>
      <c r="J49" s="545"/>
    </row>
    <row r="50" spans="1:10" ht="28.5" customHeight="1" x14ac:dyDescent="0.25">
      <c r="A50" s="547">
        <v>8</v>
      </c>
      <c r="B50" s="553" t="s">
        <v>841</v>
      </c>
      <c r="C50" s="549">
        <v>70000000</v>
      </c>
      <c r="D50" s="549">
        <f t="shared" si="8"/>
        <v>70000000</v>
      </c>
      <c r="E50" s="549">
        <f>'Biểu 02'!K133</f>
        <v>70000000</v>
      </c>
      <c r="F50" s="549"/>
      <c r="G50" s="549">
        <f t="shared" si="5"/>
        <v>0</v>
      </c>
      <c r="J50" s="545"/>
    </row>
    <row r="51" spans="1:10" s="546" customFormat="1" ht="25.5" customHeight="1" x14ac:dyDescent="0.25">
      <c r="A51" s="539" t="s">
        <v>842</v>
      </c>
      <c r="B51" s="544" t="s">
        <v>843</v>
      </c>
      <c r="C51" s="543">
        <f>531000000+300000000</f>
        <v>831000000</v>
      </c>
      <c r="D51" s="543">
        <f t="shared" si="8"/>
        <v>831000000</v>
      </c>
      <c r="E51" s="543">
        <f>'37'!H9</f>
        <v>901000000</v>
      </c>
      <c r="F51" s="543"/>
      <c r="G51" s="543">
        <f>D51-E51</f>
        <v>-70000000</v>
      </c>
      <c r="H51" s="545">
        <f>'37'!H9</f>
        <v>901000000</v>
      </c>
      <c r="J51" s="545"/>
    </row>
    <row r="52" spans="1:10" s="546" customFormat="1" ht="25.5" customHeight="1" x14ac:dyDescent="0.25">
      <c r="A52" s="539" t="s">
        <v>844</v>
      </c>
      <c r="B52" s="544" t="s">
        <v>138</v>
      </c>
      <c r="C52" s="543">
        <f>2427000000+300000000</f>
        <v>2727000000</v>
      </c>
      <c r="D52" s="543">
        <f t="shared" si="8"/>
        <v>2727000000</v>
      </c>
      <c r="E52" s="543">
        <f>'37'!G9</f>
        <v>2427000000</v>
      </c>
      <c r="F52" s="543"/>
      <c r="G52" s="543">
        <f t="shared" ref="G52:G57" si="9">D52-E52</f>
        <v>300000000</v>
      </c>
      <c r="H52" s="545">
        <f>'37'!G9</f>
        <v>2427000000</v>
      </c>
      <c r="J52" s="545"/>
    </row>
    <row r="53" spans="1:10" s="546" customFormat="1" ht="25.5" customHeight="1" x14ac:dyDescent="0.25">
      <c r="A53" s="539" t="s">
        <v>845</v>
      </c>
      <c r="B53" s="544" t="s">
        <v>617</v>
      </c>
      <c r="C53" s="543">
        <v>765000000</v>
      </c>
      <c r="D53" s="543">
        <f t="shared" si="8"/>
        <v>765000000</v>
      </c>
      <c r="E53" s="543">
        <f>'37'!F9</f>
        <v>140000000</v>
      </c>
      <c r="F53" s="543"/>
      <c r="G53" s="543">
        <f t="shared" si="9"/>
        <v>625000000</v>
      </c>
      <c r="H53" s="545">
        <f>'37'!F9</f>
        <v>140000000</v>
      </c>
      <c r="J53" s="545"/>
    </row>
    <row r="54" spans="1:10" s="546" customFormat="1" ht="25.5" customHeight="1" x14ac:dyDescent="0.25">
      <c r="A54" s="539" t="s">
        <v>846</v>
      </c>
      <c r="B54" s="544" t="s">
        <v>149</v>
      </c>
      <c r="C54" s="543">
        <v>3236000000</v>
      </c>
      <c r="D54" s="543">
        <f>C54-100000000-130000000</f>
        <v>3006000000</v>
      </c>
      <c r="E54" s="543">
        <f>'37'!S9</f>
        <v>79000000</v>
      </c>
      <c r="F54" s="543"/>
      <c r="G54" s="543">
        <f t="shared" si="9"/>
        <v>2927000000</v>
      </c>
      <c r="H54" s="545">
        <f>'37'!S9</f>
        <v>79000000</v>
      </c>
      <c r="J54" s="545"/>
    </row>
    <row r="55" spans="1:10" s="546" customFormat="1" ht="42" customHeight="1" x14ac:dyDescent="0.25">
      <c r="A55" s="539" t="s">
        <v>847</v>
      </c>
      <c r="B55" s="552" t="s">
        <v>522</v>
      </c>
      <c r="C55" s="543"/>
      <c r="D55" s="543"/>
      <c r="E55" s="543"/>
      <c r="F55" s="543"/>
      <c r="G55" s="543">
        <f t="shared" si="9"/>
        <v>0</v>
      </c>
    </row>
    <row r="56" spans="1:10" s="546" customFormat="1" ht="27.75" customHeight="1" x14ac:dyDescent="0.25">
      <c r="A56" s="539" t="s">
        <v>31</v>
      </c>
      <c r="B56" s="544" t="s">
        <v>43</v>
      </c>
      <c r="C56" s="543"/>
      <c r="D56" s="543"/>
      <c r="E56" s="543"/>
      <c r="F56" s="543"/>
      <c r="G56" s="543">
        <f t="shared" si="9"/>
        <v>0</v>
      </c>
    </row>
    <row r="57" spans="1:10" s="546" customFormat="1" ht="24" hidden="1" customHeight="1" x14ac:dyDescent="0.25">
      <c r="A57" s="539" t="s">
        <v>7</v>
      </c>
      <c r="B57" s="544" t="s">
        <v>848</v>
      </c>
      <c r="C57" s="543">
        <f t="shared" ref="C57:F57" si="10">C58+C66</f>
        <v>0</v>
      </c>
      <c r="D57" s="543">
        <f t="shared" si="10"/>
        <v>0</v>
      </c>
      <c r="E57" s="543">
        <f t="shared" si="10"/>
        <v>0</v>
      </c>
      <c r="F57" s="543">
        <f t="shared" si="10"/>
        <v>0</v>
      </c>
      <c r="G57" s="543">
        <f t="shared" si="9"/>
        <v>0</v>
      </c>
    </row>
    <row r="58" spans="1:10" s="546" customFormat="1" ht="54.75" hidden="1" customHeight="1" x14ac:dyDescent="0.25">
      <c r="A58" s="539" t="s">
        <v>23</v>
      </c>
      <c r="B58" s="544" t="s">
        <v>849</v>
      </c>
      <c r="C58" s="543">
        <f>C59+C64</f>
        <v>0</v>
      </c>
      <c r="D58" s="543">
        <f t="shared" ref="D58:F58" si="11">D59+D64</f>
        <v>0</v>
      </c>
      <c r="E58" s="543">
        <f t="shared" si="11"/>
        <v>0</v>
      </c>
      <c r="F58" s="543">
        <f t="shared" si="11"/>
        <v>0</v>
      </c>
      <c r="G58" s="543"/>
    </row>
    <row r="59" spans="1:10" s="546" customFormat="1" ht="29.25" hidden="1" customHeight="1" x14ac:dyDescent="0.25">
      <c r="A59" s="539" t="s">
        <v>850</v>
      </c>
      <c r="B59" s="544" t="s">
        <v>851</v>
      </c>
      <c r="C59" s="543">
        <f>SUM(C60:C63)</f>
        <v>0</v>
      </c>
      <c r="D59" s="543">
        <f t="shared" ref="D59:F59" si="12">SUM(D60:D63)</f>
        <v>0</v>
      </c>
      <c r="E59" s="543">
        <f t="shared" si="12"/>
        <v>0</v>
      </c>
      <c r="F59" s="543">
        <f t="shared" si="12"/>
        <v>0</v>
      </c>
      <c r="G59" s="543"/>
    </row>
    <row r="60" spans="1:10" ht="27" hidden="1" customHeight="1" x14ac:dyDescent="0.25">
      <c r="A60" s="547">
        <v>1</v>
      </c>
      <c r="B60" s="551" t="s">
        <v>479</v>
      </c>
      <c r="C60" s="549"/>
      <c r="D60" s="549"/>
      <c r="E60" s="549"/>
      <c r="F60" s="549"/>
      <c r="G60" s="549"/>
    </row>
    <row r="61" spans="1:10" ht="54.75" hidden="1" customHeight="1" x14ac:dyDescent="0.25">
      <c r="A61" s="547">
        <v>2</v>
      </c>
      <c r="B61" s="551" t="s">
        <v>480</v>
      </c>
      <c r="C61" s="549"/>
      <c r="D61" s="549"/>
      <c r="E61" s="549"/>
      <c r="F61" s="549"/>
      <c r="G61" s="549"/>
    </row>
    <row r="62" spans="1:10" ht="72.75" hidden="1" customHeight="1" x14ac:dyDescent="0.25">
      <c r="A62" s="547">
        <v>3</v>
      </c>
      <c r="B62" s="551" t="s">
        <v>481</v>
      </c>
      <c r="C62" s="549"/>
      <c r="D62" s="549"/>
      <c r="E62" s="549"/>
      <c r="F62" s="549"/>
      <c r="G62" s="549"/>
    </row>
    <row r="63" spans="1:10" ht="104.25" hidden="1" customHeight="1" x14ac:dyDescent="0.25">
      <c r="A63" s="547">
        <v>4</v>
      </c>
      <c r="B63" s="551" t="s">
        <v>482</v>
      </c>
      <c r="C63" s="549"/>
      <c r="D63" s="549"/>
      <c r="E63" s="549"/>
      <c r="F63" s="549"/>
      <c r="G63" s="549"/>
    </row>
    <row r="64" spans="1:10" s="546" customFormat="1" ht="25.5" hidden="1" customHeight="1" x14ac:dyDescent="0.25">
      <c r="A64" s="539" t="s">
        <v>852</v>
      </c>
      <c r="B64" s="554" t="s">
        <v>853</v>
      </c>
      <c r="C64" s="543">
        <f>C65</f>
        <v>0</v>
      </c>
      <c r="D64" s="543">
        <f t="shared" ref="D64:F64" si="13">D65</f>
        <v>0</v>
      </c>
      <c r="E64" s="543">
        <f t="shared" si="13"/>
        <v>0</v>
      </c>
      <c r="F64" s="543">
        <f t="shared" si="13"/>
        <v>0</v>
      </c>
      <c r="G64" s="543"/>
    </row>
    <row r="65" spans="1:7" ht="103.5" hidden="1" customHeight="1" x14ac:dyDescent="0.25">
      <c r="A65" s="547">
        <v>1</v>
      </c>
      <c r="B65" s="551" t="s">
        <v>483</v>
      </c>
      <c r="C65" s="549"/>
      <c r="D65" s="549"/>
      <c r="E65" s="549"/>
      <c r="F65" s="549"/>
      <c r="G65" s="549"/>
    </row>
    <row r="66" spans="1:7" s="546" customFormat="1" ht="25.5" hidden="1" customHeight="1" x14ac:dyDescent="0.25">
      <c r="A66" s="539" t="s">
        <v>27</v>
      </c>
      <c r="B66" s="544" t="s">
        <v>854</v>
      </c>
      <c r="C66" s="543">
        <f>C67+C68</f>
        <v>0</v>
      </c>
      <c r="D66" s="543">
        <f t="shared" ref="D66:G66" si="14">D67+D68</f>
        <v>0</v>
      </c>
      <c r="E66" s="543">
        <f t="shared" si="14"/>
        <v>0</v>
      </c>
      <c r="F66" s="543">
        <f t="shared" si="14"/>
        <v>0</v>
      </c>
      <c r="G66" s="543">
        <f t="shared" si="14"/>
        <v>0</v>
      </c>
    </row>
    <row r="67" spans="1:7" s="546" customFormat="1" ht="25.5" hidden="1" customHeight="1" x14ac:dyDescent="0.25">
      <c r="A67" s="547" t="s">
        <v>287</v>
      </c>
      <c r="B67" s="555" t="s">
        <v>476</v>
      </c>
      <c r="C67" s="549">
        <f>C70+C82</f>
        <v>0</v>
      </c>
      <c r="D67" s="549">
        <f t="shared" ref="D67:F68" si="15">D70+D82</f>
        <v>0</v>
      </c>
      <c r="E67" s="549">
        <f t="shared" si="15"/>
        <v>0</v>
      </c>
      <c r="F67" s="549">
        <f t="shared" si="15"/>
        <v>0</v>
      </c>
      <c r="G67" s="549">
        <f t="shared" ref="G67:G68" si="16">D67-E67</f>
        <v>0</v>
      </c>
    </row>
    <row r="68" spans="1:7" s="546" customFormat="1" ht="25.5" hidden="1" customHeight="1" x14ac:dyDescent="0.25">
      <c r="A68" s="547" t="s">
        <v>287</v>
      </c>
      <c r="B68" s="555" t="s">
        <v>477</v>
      </c>
      <c r="C68" s="549">
        <f>C71+C83</f>
        <v>0</v>
      </c>
      <c r="D68" s="549">
        <f t="shared" si="15"/>
        <v>0</v>
      </c>
      <c r="E68" s="549">
        <f t="shared" si="15"/>
        <v>0</v>
      </c>
      <c r="F68" s="549">
        <f t="shared" si="15"/>
        <v>0</v>
      </c>
      <c r="G68" s="549">
        <f t="shared" si="16"/>
        <v>0</v>
      </c>
    </row>
    <row r="69" spans="1:7" s="546" customFormat="1" ht="25.5" hidden="1" customHeight="1" x14ac:dyDescent="0.25">
      <c r="A69" s="539" t="s">
        <v>494</v>
      </c>
      <c r="B69" s="544" t="s">
        <v>851</v>
      </c>
      <c r="C69" s="543">
        <f>C70+C71</f>
        <v>0</v>
      </c>
      <c r="D69" s="543">
        <f t="shared" ref="D69:G69" si="17">D70+D71</f>
        <v>0</v>
      </c>
      <c r="E69" s="543">
        <f t="shared" si="17"/>
        <v>0</v>
      </c>
      <c r="F69" s="543">
        <f t="shared" si="17"/>
        <v>0</v>
      </c>
      <c r="G69" s="543">
        <f t="shared" si="17"/>
        <v>0</v>
      </c>
    </row>
    <row r="70" spans="1:7" ht="25.5" hidden="1" customHeight="1" x14ac:dyDescent="0.25">
      <c r="A70" s="547" t="s">
        <v>74</v>
      </c>
      <c r="B70" s="555" t="s">
        <v>476</v>
      </c>
      <c r="C70" s="556">
        <f>C73+C76+C79</f>
        <v>0</v>
      </c>
      <c r="D70" s="549">
        <f t="shared" ref="D70:F71" si="18">D73+D76+D79</f>
        <v>0</v>
      </c>
      <c r="E70" s="549">
        <f t="shared" si="18"/>
        <v>0</v>
      </c>
      <c r="F70" s="549">
        <f t="shared" si="18"/>
        <v>0</v>
      </c>
      <c r="G70" s="549">
        <f t="shared" ref="G70:G71" si="19">D70-E70</f>
        <v>0</v>
      </c>
    </row>
    <row r="71" spans="1:7" ht="25.5" hidden="1" customHeight="1" x14ac:dyDescent="0.25">
      <c r="A71" s="547" t="s">
        <v>74</v>
      </c>
      <c r="B71" s="555" t="s">
        <v>477</v>
      </c>
      <c r="C71" s="556">
        <f>C74+C77+C80</f>
        <v>0</v>
      </c>
      <c r="D71" s="549">
        <f t="shared" si="18"/>
        <v>0</v>
      </c>
      <c r="E71" s="549">
        <f t="shared" si="18"/>
        <v>0</v>
      </c>
      <c r="F71" s="549">
        <f t="shared" si="18"/>
        <v>0</v>
      </c>
      <c r="G71" s="549">
        <f t="shared" si="19"/>
        <v>0</v>
      </c>
    </row>
    <row r="72" spans="1:7" s="546" customFormat="1" ht="36.75" hidden="1" customHeight="1" x14ac:dyDescent="0.25">
      <c r="A72" s="539">
        <v>1</v>
      </c>
      <c r="B72" s="557" t="s">
        <v>238</v>
      </c>
      <c r="C72" s="558">
        <f>C73+C74</f>
        <v>0</v>
      </c>
      <c r="D72" s="559">
        <f t="shared" ref="D72:G72" si="20">D73+D74</f>
        <v>0</v>
      </c>
      <c r="E72" s="559">
        <f t="shared" si="20"/>
        <v>0</v>
      </c>
      <c r="F72" s="559">
        <f t="shared" si="20"/>
        <v>0</v>
      </c>
      <c r="G72" s="559">
        <f t="shared" si="20"/>
        <v>0</v>
      </c>
    </row>
    <row r="73" spans="1:7" ht="24" hidden="1" customHeight="1" x14ac:dyDescent="0.25">
      <c r="A73" s="547" t="s">
        <v>74</v>
      </c>
      <c r="B73" s="555" t="s">
        <v>476</v>
      </c>
      <c r="C73" s="560"/>
      <c r="D73" s="549"/>
      <c r="E73" s="549"/>
      <c r="F73" s="549"/>
      <c r="G73" s="549">
        <f t="shared" ref="G73:G74" si="21">D73-E73</f>
        <v>0</v>
      </c>
    </row>
    <row r="74" spans="1:7" ht="24" hidden="1" customHeight="1" x14ac:dyDescent="0.25">
      <c r="A74" s="547" t="s">
        <v>74</v>
      </c>
      <c r="B74" s="555" t="s">
        <v>477</v>
      </c>
      <c r="C74" s="560"/>
      <c r="D74" s="549"/>
      <c r="E74" s="549"/>
      <c r="F74" s="549"/>
      <c r="G74" s="549">
        <f t="shared" si="21"/>
        <v>0</v>
      </c>
    </row>
    <row r="75" spans="1:7" s="546" customFormat="1" ht="39" hidden="1" customHeight="1" x14ac:dyDescent="0.25">
      <c r="A75" s="539">
        <v>2</v>
      </c>
      <c r="B75" s="557" t="s">
        <v>239</v>
      </c>
      <c r="C75" s="558">
        <f>C76+C77</f>
        <v>0</v>
      </c>
      <c r="D75" s="559">
        <f t="shared" ref="D75:G75" si="22">D76+D77</f>
        <v>0</v>
      </c>
      <c r="E75" s="559">
        <f t="shared" si="22"/>
        <v>0</v>
      </c>
      <c r="F75" s="559">
        <f t="shared" si="22"/>
        <v>0</v>
      </c>
      <c r="G75" s="559">
        <f t="shared" si="22"/>
        <v>0</v>
      </c>
    </row>
    <row r="76" spans="1:7" ht="24.75" hidden="1" customHeight="1" x14ac:dyDescent="0.25">
      <c r="A76" s="547" t="s">
        <v>74</v>
      </c>
      <c r="B76" s="555" t="s">
        <v>476</v>
      </c>
      <c r="C76" s="560"/>
      <c r="D76" s="549"/>
      <c r="E76" s="549"/>
      <c r="F76" s="549"/>
      <c r="G76" s="549">
        <f t="shared" ref="G76:G77" si="23">D76-E76</f>
        <v>0</v>
      </c>
    </row>
    <row r="77" spans="1:7" ht="24.75" hidden="1" customHeight="1" x14ac:dyDescent="0.25">
      <c r="A77" s="547" t="s">
        <v>74</v>
      </c>
      <c r="B77" s="555" t="s">
        <v>477</v>
      </c>
      <c r="C77" s="560"/>
      <c r="D77" s="549"/>
      <c r="E77" s="549"/>
      <c r="F77" s="549"/>
      <c r="G77" s="549">
        <f t="shared" si="23"/>
        <v>0</v>
      </c>
    </row>
    <row r="78" spans="1:7" s="546" customFormat="1" ht="40.5" hidden="1" customHeight="1" x14ac:dyDescent="0.25">
      <c r="A78" s="539">
        <v>3</v>
      </c>
      <c r="B78" s="557" t="s">
        <v>478</v>
      </c>
      <c r="C78" s="558">
        <f>C79+C80</f>
        <v>0</v>
      </c>
      <c r="D78" s="559">
        <f t="shared" ref="D78:G78" si="24">D79+D80</f>
        <v>0</v>
      </c>
      <c r="E78" s="559">
        <f t="shared" si="24"/>
        <v>0</v>
      </c>
      <c r="F78" s="559">
        <f t="shared" si="24"/>
        <v>0</v>
      </c>
      <c r="G78" s="559">
        <f t="shared" si="24"/>
        <v>0</v>
      </c>
    </row>
    <row r="79" spans="1:7" ht="25.5" hidden="1" customHeight="1" x14ac:dyDescent="0.25">
      <c r="A79" s="547" t="s">
        <v>74</v>
      </c>
      <c r="B79" s="555" t="s">
        <v>476</v>
      </c>
      <c r="C79" s="549"/>
      <c r="D79" s="549"/>
      <c r="E79" s="549"/>
      <c r="F79" s="549"/>
      <c r="G79" s="549">
        <f t="shared" ref="G79:G80" si="25">D79-E79</f>
        <v>0</v>
      </c>
    </row>
    <row r="80" spans="1:7" ht="25.5" hidden="1" customHeight="1" x14ac:dyDescent="0.25">
      <c r="A80" s="547" t="s">
        <v>74</v>
      </c>
      <c r="B80" s="555" t="s">
        <v>477</v>
      </c>
      <c r="C80" s="549"/>
      <c r="D80" s="549"/>
      <c r="E80" s="549"/>
      <c r="F80" s="549"/>
      <c r="G80" s="549">
        <f t="shared" si="25"/>
        <v>0</v>
      </c>
    </row>
    <row r="81" spans="1:7" s="546" customFormat="1" ht="25.5" hidden="1" customHeight="1" x14ac:dyDescent="0.25">
      <c r="A81" s="539" t="s">
        <v>494</v>
      </c>
      <c r="B81" s="544" t="s">
        <v>855</v>
      </c>
      <c r="C81" s="543">
        <f>C82+C83</f>
        <v>0</v>
      </c>
      <c r="D81" s="543">
        <f t="shared" ref="D81:G81" si="26">D82+D83</f>
        <v>0</v>
      </c>
      <c r="E81" s="543">
        <f t="shared" si="26"/>
        <v>0</v>
      </c>
      <c r="F81" s="543">
        <f t="shared" si="26"/>
        <v>0</v>
      </c>
      <c r="G81" s="543">
        <f t="shared" si="26"/>
        <v>0</v>
      </c>
    </row>
    <row r="82" spans="1:7" ht="25.5" hidden="1" customHeight="1" x14ac:dyDescent="0.25">
      <c r="A82" s="547" t="s">
        <v>74</v>
      </c>
      <c r="B82" s="555" t="s">
        <v>476</v>
      </c>
      <c r="C82" s="556">
        <f t="shared" ref="C82:F83" si="27">C85+C88+C91</f>
        <v>0</v>
      </c>
      <c r="D82" s="556">
        <f t="shared" si="27"/>
        <v>0</v>
      </c>
      <c r="E82" s="556">
        <f t="shared" si="27"/>
        <v>0</v>
      </c>
      <c r="F82" s="556">
        <f t="shared" si="27"/>
        <v>0</v>
      </c>
      <c r="G82" s="549">
        <f t="shared" ref="G82:G83" si="28">D82-E82</f>
        <v>0</v>
      </c>
    </row>
    <row r="83" spans="1:7" ht="25.5" hidden="1" customHeight="1" x14ac:dyDescent="0.25">
      <c r="A83" s="547" t="s">
        <v>74</v>
      </c>
      <c r="B83" s="555" t="s">
        <v>477</v>
      </c>
      <c r="C83" s="556">
        <f t="shared" si="27"/>
        <v>0</v>
      </c>
      <c r="D83" s="556">
        <f t="shared" si="27"/>
        <v>0</v>
      </c>
      <c r="E83" s="556">
        <f t="shared" si="27"/>
        <v>0</v>
      </c>
      <c r="F83" s="556">
        <f t="shared" si="27"/>
        <v>0</v>
      </c>
      <c r="G83" s="549">
        <f t="shared" si="28"/>
        <v>0</v>
      </c>
    </row>
    <row r="84" spans="1:7" s="546" customFormat="1" ht="39.75" hidden="1" customHeight="1" x14ac:dyDescent="0.25">
      <c r="A84" s="539">
        <v>1</v>
      </c>
      <c r="B84" s="557" t="s">
        <v>238</v>
      </c>
      <c r="C84" s="561">
        <f>C85+C86</f>
        <v>0</v>
      </c>
      <c r="D84" s="559">
        <f t="shared" ref="D84:G84" si="29">D85+D86</f>
        <v>0</v>
      </c>
      <c r="E84" s="559">
        <f t="shared" si="29"/>
        <v>0</v>
      </c>
      <c r="F84" s="559">
        <f t="shared" si="29"/>
        <v>0</v>
      </c>
      <c r="G84" s="559">
        <f t="shared" si="29"/>
        <v>0</v>
      </c>
    </row>
    <row r="85" spans="1:7" ht="26.25" hidden="1" customHeight="1" x14ac:dyDescent="0.25">
      <c r="A85" s="547" t="s">
        <v>74</v>
      </c>
      <c r="B85" s="555" t="s">
        <v>476</v>
      </c>
      <c r="C85" s="562"/>
      <c r="D85" s="549"/>
      <c r="E85" s="549"/>
      <c r="F85" s="549"/>
      <c r="G85" s="549">
        <f t="shared" ref="G85:G86" si="30">D85-E85</f>
        <v>0</v>
      </c>
    </row>
    <row r="86" spans="1:7" ht="26.25" hidden="1" customHeight="1" x14ac:dyDescent="0.25">
      <c r="A86" s="547" t="s">
        <v>74</v>
      </c>
      <c r="B86" s="555" t="s">
        <v>477</v>
      </c>
      <c r="C86" s="562"/>
      <c r="D86" s="549"/>
      <c r="E86" s="549"/>
      <c r="F86" s="549"/>
      <c r="G86" s="549">
        <f t="shared" si="30"/>
        <v>0</v>
      </c>
    </row>
    <row r="87" spans="1:7" s="546" customFormat="1" ht="38.25" hidden="1" customHeight="1" x14ac:dyDescent="0.25">
      <c r="A87" s="539">
        <v>2</v>
      </c>
      <c r="B87" s="557" t="s">
        <v>239</v>
      </c>
      <c r="C87" s="561">
        <f>C88+C89</f>
        <v>0</v>
      </c>
      <c r="D87" s="559">
        <f>D88+D89</f>
        <v>0</v>
      </c>
      <c r="E87" s="559">
        <f t="shared" ref="E87:G87" si="31">E88+E89</f>
        <v>0</v>
      </c>
      <c r="F87" s="559">
        <f t="shared" si="31"/>
        <v>0</v>
      </c>
      <c r="G87" s="559">
        <f t="shared" si="31"/>
        <v>0</v>
      </c>
    </row>
    <row r="88" spans="1:7" ht="25.5" hidden="1" customHeight="1" x14ac:dyDescent="0.25">
      <c r="A88" s="547" t="s">
        <v>74</v>
      </c>
      <c r="B88" s="555" t="s">
        <v>476</v>
      </c>
      <c r="C88" s="549"/>
      <c r="D88" s="549"/>
      <c r="E88" s="549"/>
      <c r="F88" s="549"/>
      <c r="G88" s="549">
        <f t="shared" ref="G88:G89" si="32">D88-E88</f>
        <v>0</v>
      </c>
    </row>
    <row r="89" spans="1:7" ht="25.5" hidden="1" customHeight="1" x14ac:dyDescent="0.25">
      <c r="A89" s="547" t="s">
        <v>74</v>
      </c>
      <c r="B89" s="555" t="s">
        <v>477</v>
      </c>
      <c r="C89" s="549"/>
      <c r="D89" s="549"/>
      <c r="E89" s="549"/>
      <c r="F89" s="549"/>
      <c r="G89" s="549">
        <f t="shared" si="32"/>
        <v>0</v>
      </c>
    </row>
    <row r="90" spans="1:7" s="546" customFormat="1" ht="39.75" hidden="1" customHeight="1" x14ac:dyDescent="0.25">
      <c r="A90" s="539">
        <v>3</v>
      </c>
      <c r="B90" s="557" t="s">
        <v>478</v>
      </c>
      <c r="C90" s="561">
        <f>C91+C92</f>
        <v>0</v>
      </c>
      <c r="D90" s="559">
        <f t="shared" ref="D90:G90" si="33">D91+D92</f>
        <v>0</v>
      </c>
      <c r="E90" s="559">
        <f t="shared" si="33"/>
        <v>0</v>
      </c>
      <c r="F90" s="559">
        <f t="shared" si="33"/>
        <v>0</v>
      </c>
      <c r="G90" s="559">
        <f t="shared" si="33"/>
        <v>0</v>
      </c>
    </row>
    <row r="91" spans="1:7" ht="25.5" hidden="1" customHeight="1" x14ac:dyDescent="0.25">
      <c r="A91" s="547" t="s">
        <v>74</v>
      </c>
      <c r="B91" s="555" t="s">
        <v>476</v>
      </c>
      <c r="C91" s="560"/>
      <c r="D91" s="560"/>
      <c r="E91" s="549"/>
      <c r="F91" s="549"/>
      <c r="G91" s="549">
        <f t="shared" ref="G91:G92" si="34">D91-E91</f>
        <v>0</v>
      </c>
    </row>
    <row r="92" spans="1:7" ht="25.5" hidden="1" customHeight="1" x14ac:dyDescent="0.25">
      <c r="A92" s="547" t="s">
        <v>74</v>
      </c>
      <c r="B92" s="555" t="s">
        <v>477</v>
      </c>
      <c r="C92" s="560"/>
      <c r="D92" s="549"/>
      <c r="E92" s="549"/>
      <c r="F92" s="549"/>
      <c r="G92" s="549">
        <f t="shared" si="34"/>
        <v>0</v>
      </c>
    </row>
  </sheetData>
  <mergeCells count="10">
    <mergeCell ref="A1:G1"/>
    <mergeCell ref="A2:G2"/>
    <mergeCell ref="A3:G3"/>
    <mergeCell ref="F4:G4"/>
    <mergeCell ref="A5:A6"/>
    <mergeCell ref="B5:B6"/>
    <mergeCell ref="C5:C6"/>
    <mergeCell ref="D5:D6"/>
    <mergeCell ref="E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32"/>
  <sheetViews>
    <sheetView view="pageBreakPreview" topLeftCell="A7" zoomScale="115" zoomScaleNormal="100" zoomScaleSheetLayoutView="115" workbookViewId="0">
      <selection activeCell="B14" sqref="B14"/>
    </sheetView>
  </sheetViews>
  <sheetFormatPr defaultRowHeight="12.75" x14ac:dyDescent="0.25"/>
  <cols>
    <col min="1" max="1" width="4.85546875" style="238" customWidth="1"/>
    <col min="2" max="2" width="21.42578125" style="238" customWidth="1"/>
    <col min="3" max="3" width="14.7109375" style="239" customWidth="1"/>
    <col min="4" max="4" width="14.140625" style="239" customWidth="1"/>
    <col min="5" max="5" width="14.85546875" style="239" customWidth="1"/>
    <col min="6" max="6" width="13.85546875" style="239" customWidth="1"/>
    <col min="7" max="7" width="14.42578125" style="239" customWidth="1"/>
    <col min="8" max="8" width="7.5703125" style="578" customWidth="1"/>
    <col min="9" max="249" width="9" style="238"/>
    <col min="250" max="250" width="4.85546875" style="238" customWidth="1"/>
    <col min="251" max="251" width="21.42578125" style="238" customWidth="1"/>
    <col min="252" max="252" width="15.5703125" style="238" customWidth="1"/>
    <col min="253" max="253" width="15.42578125" style="238" customWidth="1"/>
    <col min="254" max="254" width="14.28515625" style="238" customWidth="1"/>
    <col min="255" max="255" width="12.7109375" style="238" customWidth="1"/>
    <col min="256" max="256" width="15.5703125" style="238" customWidth="1"/>
    <col min="257" max="257" width="6.28515625" style="238" customWidth="1"/>
    <col min="258" max="258" width="16.140625" style="238" customWidth="1"/>
    <col min="259" max="259" width="11.85546875" style="238" customWidth="1"/>
    <col min="260" max="260" width="14.42578125" style="238" customWidth="1"/>
    <col min="261" max="261" width="4.5703125" style="238" customWidth="1"/>
    <col min="262" max="262" width="15" style="238" customWidth="1"/>
    <col min="263" max="263" width="4.140625" style="238" customWidth="1"/>
    <col min="264" max="264" width="13.7109375" style="238" customWidth="1"/>
    <col min="265" max="505" width="9" style="238"/>
    <col min="506" max="506" width="4.85546875" style="238" customWidth="1"/>
    <col min="507" max="507" width="21.42578125" style="238" customWidth="1"/>
    <col min="508" max="508" width="15.5703125" style="238" customWidth="1"/>
    <col min="509" max="509" width="15.42578125" style="238" customWidth="1"/>
    <col min="510" max="510" width="14.28515625" style="238" customWidth="1"/>
    <col min="511" max="511" width="12.7109375" style="238" customWidth="1"/>
    <col min="512" max="512" width="15.5703125" style="238" customWidth="1"/>
    <col min="513" max="513" width="6.28515625" style="238" customWidth="1"/>
    <col min="514" max="514" width="16.140625" style="238" customWidth="1"/>
    <col min="515" max="515" width="11.85546875" style="238" customWidth="1"/>
    <col min="516" max="516" width="14.42578125" style="238" customWidth="1"/>
    <col min="517" max="517" width="4.5703125" style="238" customWidth="1"/>
    <col min="518" max="518" width="15" style="238" customWidth="1"/>
    <col min="519" max="519" width="4.140625" style="238" customWidth="1"/>
    <col min="520" max="520" width="13.7109375" style="238" customWidth="1"/>
    <col min="521" max="761" width="9" style="238"/>
    <col min="762" max="762" width="4.85546875" style="238" customWidth="1"/>
    <col min="763" max="763" width="21.42578125" style="238" customWidth="1"/>
    <col min="764" max="764" width="15.5703125" style="238" customWidth="1"/>
    <col min="765" max="765" width="15.42578125" style="238" customWidth="1"/>
    <col min="766" max="766" width="14.28515625" style="238" customWidth="1"/>
    <col min="767" max="767" width="12.7109375" style="238" customWidth="1"/>
    <col min="768" max="768" width="15.5703125" style="238" customWidth="1"/>
    <col min="769" max="769" width="6.28515625" style="238" customWidth="1"/>
    <col min="770" max="770" width="16.140625" style="238" customWidth="1"/>
    <col min="771" max="771" width="11.85546875" style="238" customWidth="1"/>
    <col min="772" max="772" width="14.42578125" style="238" customWidth="1"/>
    <col min="773" max="773" width="4.5703125" style="238" customWidth="1"/>
    <col min="774" max="774" width="15" style="238" customWidth="1"/>
    <col min="775" max="775" width="4.140625" style="238" customWidth="1"/>
    <col min="776" max="776" width="13.7109375" style="238" customWidth="1"/>
    <col min="777" max="1017" width="9" style="238"/>
    <col min="1018" max="1018" width="4.85546875" style="238" customWidth="1"/>
    <col min="1019" max="1019" width="21.42578125" style="238" customWidth="1"/>
    <col min="1020" max="1020" width="15.5703125" style="238" customWidth="1"/>
    <col min="1021" max="1021" width="15.42578125" style="238" customWidth="1"/>
    <col min="1022" max="1022" width="14.28515625" style="238" customWidth="1"/>
    <col min="1023" max="1023" width="12.7109375" style="238" customWidth="1"/>
    <col min="1024" max="1024" width="15.5703125" style="238" customWidth="1"/>
    <col min="1025" max="1025" width="6.28515625" style="238" customWidth="1"/>
    <col min="1026" max="1026" width="16.140625" style="238" customWidth="1"/>
    <col min="1027" max="1027" width="11.85546875" style="238" customWidth="1"/>
    <col min="1028" max="1028" width="14.42578125" style="238" customWidth="1"/>
    <col min="1029" max="1029" width="4.5703125" style="238" customWidth="1"/>
    <col min="1030" max="1030" width="15" style="238" customWidth="1"/>
    <col min="1031" max="1031" width="4.140625" style="238" customWidth="1"/>
    <col min="1032" max="1032" width="13.7109375" style="238" customWidth="1"/>
    <col min="1033" max="1273" width="9" style="238"/>
    <col min="1274" max="1274" width="4.85546875" style="238" customWidth="1"/>
    <col min="1275" max="1275" width="21.42578125" style="238" customWidth="1"/>
    <col min="1276" max="1276" width="15.5703125" style="238" customWidth="1"/>
    <col min="1277" max="1277" width="15.42578125" style="238" customWidth="1"/>
    <col min="1278" max="1278" width="14.28515625" style="238" customWidth="1"/>
    <col min="1279" max="1279" width="12.7109375" style="238" customWidth="1"/>
    <col min="1280" max="1280" width="15.5703125" style="238" customWidth="1"/>
    <col min="1281" max="1281" width="6.28515625" style="238" customWidth="1"/>
    <col min="1282" max="1282" width="16.140625" style="238" customWidth="1"/>
    <col min="1283" max="1283" width="11.85546875" style="238" customWidth="1"/>
    <col min="1284" max="1284" width="14.42578125" style="238" customWidth="1"/>
    <col min="1285" max="1285" width="4.5703125" style="238" customWidth="1"/>
    <col min="1286" max="1286" width="15" style="238" customWidth="1"/>
    <col min="1287" max="1287" width="4.140625" style="238" customWidth="1"/>
    <col min="1288" max="1288" width="13.7109375" style="238" customWidth="1"/>
    <col min="1289" max="1529" width="9" style="238"/>
    <col min="1530" max="1530" width="4.85546875" style="238" customWidth="1"/>
    <col min="1531" max="1531" width="21.42578125" style="238" customWidth="1"/>
    <col min="1532" max="1532" width="15.5703125" style="238" customWidth="1"/>
    <col min="1533" max="1533" width="15.42578125" style="238" customWidth="1"/>
    <col min="1534" max="1534" width="14.28515625" style="238" customWidth="1"/>
    <col min="1535" max="1535" width="12.7109375" style="238" customWidth="1"/>
    <col min="1536" max="1536" width="15.5703125" style="238" customWidth="1"/>
    <col min="1537" max="1537" width="6.28515625" style="238" customWidth="1"/>
    <col min="1538" max="1538" width="16.140625" style="238" customWidth="1"/>
    <col min="1539" max="1539" width="11.85546875" style="238" customWidth="1"/>
    <col min="1540" max="1540" width="14.42578125" style="238" customWidth="1"/>
    <col min="1541" max="1541" width="4.5703125" style="238" customWidth="1"/>
    <col min="1542" max="1542" width="15" style="238" customWidth="1"/>
    <col min="1543" max="1543" width="4.140625" style="238" customWidth="1"/>
    <col min="1544" max="1544" width="13.7109375" style="238" customWidth="1"/>
    <col min="1545" max="1785" width="9" style="238"/>
    <col min="1786" max="1786" width="4.85546875" style="238" customWidth="1"/>
    <col min="1787" max="1787" width="21.42578125" style="238" customWidth="1"/>
    <col min="1788" max="1788" width="15.5703125" style="238" customWidth="1"/>
    <col min="1789" max="1789" width="15.42578125" style="238" customWidth="1"/>
    <col min="1790" max="1790" width="14.28515625" style="238" customWidth="1"/>
    <col min="1791" max="1791" width="12.7109375" style="238" customWidth="1"/>
    <col min="1792" max="1792" width="15.5703125" style="238" customWidth="1"/>
    <col min="1793" max="1793" width="6.28515625" style="238" customWidth="1"/>
    <col min="1794" max="1794" width="16.140625" style="238" customWidth="1"/>
    <col min="1795" max="1795" width="11.85546875" style="238" customWidth="1"/>
    <col min="1796" max="1796" width="14.42578125" style="238" customWidth="1"/>
    <col min="1797" max="1797" width="4.5703125" style="238" customWidth="1"/>
    <col min="1798" max="1798" width="15" style="238" customWidth="1"/>
    <col min="1799" max="1799" width="4.140625" style="238" customWidth="1"/>
    <col min="1800" max="1800" width="13.7109375" style="238" customWidth="1"/>
    <col min="1801" max="2041" width="9" style="238"/>
    <col min="2042" max="2042" width="4.85546875" style="238" customWidth="1"/>
    <col min="2043" max="2043" width="21.42578125" style="238" customWidth="1"/>
    <col min="2044" max="2044" width="15.5703125" style="238" customWidth="1"/>
    <col min="2045" max="2045" width="15.42578125" style="238" customWidth="1"/>
    <col min="2046" max="2046" width="14.28515625" style="238" customWidth="1"/>
    <col min="2047" max="2047" width="12.7109375" style="238" customWidth="1"/>
    <col min="2048" max="2048" width="15.5703125" style="238" customWidth="1"/>
    <col min="2049" max="2049" width="6.28515625" style="238" customWidth="1"/>
    <col min="2050" max="2050" width="16.140625" style="238" customWidth="1"/>
    <col min="2051" max="2051" width="11.85546875" style="238" customWidth="1"/>
    <col min="2052" max="2052" width="14.42578125" style="238" customWidth="1"/>
    <col min="2053" max="2053" width="4.5703125" style="238" customWidth="1"/>
    <col min="2054" max="2054" width="15" style="238" customWidth="1"/>
    <col min="2055" max="2055" width="4.140625" style="238" customWidth="1"/>
    <col min="2056" max="2056" width="13.7109375" style="238" customWidth="1"/>
    <col min="2057" max="2297" width="9" style="238"/>
    <col min="2298" max="2298" width="4.85546875" style="238" customWidth="1"/>
    <col min="2299" max="2299" width="21.42578125" style="238" customWidth="1"/>
    <col min="2300" max="2300" width="15.5703125" style="238" customWidth="1"/>
    <col min="2301" max="2301" width="15.42578125" style="238" customWidth="1"/>
    <col min="2302" max="2302" width="14.28515625" style="238" customWidth="1"/>
    <col min="2303" max="2303" width="12.7109375" style="238" customWidth="1"/>
    <col min="2304" max="2304" width="15.5703125" style="238" customWidth="1"/>
    <col min="2305" max="2305" width="6.28515625" style="238" customWidth="1"/>
    <col min="2306" max="2306" width="16.140625" style="238" customWidth="1"/>
    <col min="2307" max="2307" width="11.85546875" style="238" customWidth="1"/>
    <col min="2308" max="2308" width="14.42578125" style="238" customWidth="1"/>
    <col min="2309" max="2309" width="4.5703125" style="238" customWidth="1"/>
    <col min="2310" max="2310" width="15" style="238" customWidth="1"/>
    <col min="2311" max="2311" width="4.140625" style="238" customWidth="1"/>
    <col min="2312" max="2312" width="13.7109375" style="238" customWidth="1"/>
    <col min="2313" max="2553" width="9" style="238"/>
    <col min="2554" max="2554" width="4.85546875" style="238" customWidth="1"/>
    <col min="2555" max="2555" width="21.42578125" style="238" customWidth="1"/>
    <col min="2556" max="2556" width="15.5703125" style="238" customWidth="1"/>
    <col min="2557" max="2557" width="15.42578125" style="238" customWidth="1"/>
    <col min="2558" max="2558" width="14.28515625" style="238" customWidth="1"/>
    <col min="2559" max="2559" width="12.7109375" style="238" customWidth="1"/>
    <col min="2560" max="2560" width="15.5703125" style="238" customWidth="1"/>
    <col min="2561" max="2561" width="6.28515625" style="238" customWidth="1"/>
    <col min="2562" max="2562" width="16.140625" style="238" customWidth="1"/>
    <col min="2563" max="2563" width="11.85546875" style="238" customWidth="1"/>
    <col min="2564" max="2564" width="14.42578125" style="238" customWidth="1"/>
    <col min="2565" max="2565" width="4.5703125" style="238" customWidth="1"/>
    <col min="2566" max="2566" width="15" style="238" customWidth="1"/>
    <col min="2567" max="2567" width="4.140625" style="238" customWidth="1"/>
    <col min="2568" max="2568" width="13.7109375" style="238" customWidth="1"/>
    <col min="2569" max="2809" width="9" style="238"/>
    <col min="2810" max="2810" width="4.85546875" style="238" customWidth="1"/>
    <col min="2811" max="2811" width="21.42578125" style="238" customWidth="1"/>
    <col min="2812" max="2812" width="15.5703125" style="238" customWidth="1"/>
    <col min="2813" max="2813" width="15.42578125" style="238" customWidth="1"/>
    <col min="2814" max="2814" width="14.28515625" style="238" customWidth="1"/>
    <col min="2815" max="2815" width="12.7109375" style="238" customWidth="1"/>
    <col min="2816" max="2816" width="15.5703125" style="238" customWidth="1"/>
    <col min="2817" max="2817" width="6.28515625" style="238" customWidth="1"/>
    <col min="2818" max="2818" width="16.140625" style="238" customWidth="1"/>
    <col min="2819" max="2819" width="11.85546875" style="238" customWidth="1"/>
    <col min="2820" max="2820" width="14.42578125" style="238" customWidth="1"/>
    <col min="2821" max="2821" width="4.5703125" style="238" customWidth="1"/>
    <col min="2822" max="2822" width="15" style="238" customWidth="1"/>
    <col min="2823" max="2823" width="4.140625" style="238" customWidth="1"/>
    <col min="2824" max="2824" width="13.7109375" style="238" customWidth="1"/>
    <col min="2825" max="3065" width="9" style="238"/>
    <col min="3066" max="3066" width="4.85546875" style="238" customWidth="1"/>
    <col min="3067" max="3067" width="21.42578125" style="238" customWidth="1"/>
    <col min="3068" max="3068" width="15.5703125" style="238" customWidth="1"/>
    <col min="3069" max="3069" width="15.42578125" style="238" customWidth="1"/>
    <col min="3070" max="3070" width="14.28515625" style="238" customWidth="1"/>
    <col min="3071" max="3071" width="12.7109375" style="238" customWidth="1"/>
    <col min="3072" max="3072" width="15.5703125" style="238" customWidth="1"/>
    <col min="3073" max="3073" width="6.28515625" style="238" customWidth="1"/>
    <col min="3074" max="3074" width="16.140625" style="238" customWidth="1"/>
    <col min="3075" max="3075" width="11.85546875" style="238" customWidth="1"/>
    <col min="3076" max="3076" width="14.42578125" style="238" customWidth="1"/>
    <col min="3077" max="3077" width="4.5703125" style="238" customWidth="1"/>
    <col min="3078" max="3078" width="15" style="238" customWidth="1"/>
    <col min="3079" max="3079" width="4.140625" style="238" customWidth="1"/>
    <col min="3080" max="3080" width="13.7109375" style="238" customWidth="1"/>
    <col min="3081" max="3321" width="9" style="238"/>
    <col min="3322" max="3322" width="4.85546875" style="238" customWidth="1"/>
    <col min="3323" max="3323" width="21.42578125" style="238" customWidth="1"/>
    <col min="3324" max="3324" width="15.5703125" style="238" customWidth="1"/>
    <col min="3325" max="3325" width="15.42578125" style="238" customWidth="1"/>
    <col min="3326" max="3326" width="14.28515625" style="238" customWidth="1"/>
    <col min="3327" max="3327" width="12.7109375" style="238" customWidth="1"/>
    <col min="3328" max="3328" width="15.5703125" style="238" customWidth="1"/>
    <col min="3329" max="3329" width="6.28515625" style="238" customWidth="1"/>
    <col min="3330" max="3330" width="16.140625" style="238" customWidth="1"/>
    <col min="3331" max="3331" width="11.85546875" style="238" customWidth="1"/>
    <col min="3332" max="3332" width="14.42578125" style="238" customWidth="1"/>
    <col min="3333" max="3333" width="4.5703125" style="238" customWidth="1"/>
    <col min="3334" max="3334" width="15" style="238" customWidth="1"/>
    <col min="3335" max="3335" width="4.140625" style="238" customWidth="1"/>
    <col min="3336" max="3336" width="13.7109375" style="238" customWidth="1"/>
    <col min="3337" max="3577" width="9" style="238"/>
    <col min="3578" max="3578" width="4.85546875" style="238" customWidth="1"/>
    <col min="3579" max="3579" width="21.42578125" style="238" customWidth="1"/>
    <col min="3580" max="3580" width="15.5703125" style="238" customWidth="1"/>
    <col min="3581" max="3581" width="15.42578125" style="238" customWidth="1"/>
    <col min="3582" max="3582" width="14.28515625" style="238" customWidth="1"/>
    <col min="3583" max="3583" width="12.7109375" style="238" customWidth="1"/>
    <col min="3584" max="3584" width="15.5703125" style="238" customWidth="1"/>
    <col min="3585" max="3585" width="6.28515625" style="238" customWidth="1"/>
    <col min="3586" max="3586" width="16.140625" style="238" customWidth="1"/>
    <col min="3587" max="3587" width="11.85546875" style="238" customWidth="1"/>
    <col min="3588" max="3588" width="14.42578125" style="238" customWidth="1"/>
    <col min="3589" max="3589" width="4.5703125" style="238" customWidth="1"/>
    <col min="3590" max="3590" width="15" style="238" customWidth="1"/>
    <col min="3591" max="3591" width="4.140625" style="238" customWidth="1"/>
    <col min="3592" max="3592" width="13.7109375" style="238" customWidth="1"/>
    <col min="3593" max="3833" width="9" style="238"/>
    <col min="3834" max="3834" width="4.85546875" style="238" customWidth="1"/>
    <col min="3835" max="3835" width="21.42578125" style="238" customWidth="1"/>
    <col min="3836" max="3836" width="15.5703125" style="238" customWidth="1"/>
    <col min="3837" max="3837" width="15.42578125" style="238" customWidth="1"/>
    <col min="3838" max="3838" width="14.28515625" style="238" customWidth="1"/>
    <col min="3839" max="3839" width="12.7109375" style="238" customWidth="1"/>
    <col min="3840" max="3840" width="15.5703125" style="238" customWidth="1"/>
    <col min="3841" max="3841" width="6.28515625" style="238" customWidth="1"/>
    <col min="3842" max="3842" width="16.140625" style="238" customWidth="1"/>
    <col min="3843" max="3843" width="11.85546875" style="238" customWidth="1"/>
    <col min="3844" max="3844" width="14.42578125" style="238" customWidth="1"/>
    <col min="3845" max="3845" width="4.5703125" style="238" customWidth="1"/>
    <col min="3846" max="3846" width="15" style="238" customWidth="1"/>
    <col min="3847" max="3847" width="4.140625" style="238" customWidth="1"/>
    <col min="3848" max="3848" width="13.7109375" style="238" customWidth="1"/>
    <col min="3849" max="4089" width="9" style="238"/>
    <col min="4090" max="4090" width="4.85546875" style="238" customWidth="1"/>
    <col min="4091" max="4091" width="21.42578125" style="238" customWidth="1"/>
    <col min="4092" max="4092" width="15.5703125" style="238" customWidth="1"/>
    <col min="4093" max="4093" width="15.42578125" style="238" customWidth="1"/>
    <col min="4094" max="4094" width="14.28515625" style="238" customWidth="1"/>
    <col min="4095" max="4095" width="12.7109375" style="238" customWidth="1"/>
    <col min="4096" max="4096" width="15.5703125" style="238" customWidth="1"/>
    <col min="4097" max="4097" width="6.28515625" style="238" customWidth="1"/>
    <col min="4098" max="4098" width="16.140625" style="238" customWidth="1"/>
    <col min="4099" max="4099" width="11.85546875" style="238" customWidth="1"/>
    <col min="4100" max="4100" width="14.42578125" style="238" customWidth="1"/>
    <col min="4101" max="4101" width="4.5703125" style="238" customWidth="1"/>
    <col min="4102" max="4102" width="15" style="238" customWidth="1"/>
    <col min="4103" max="4103" width="4.140625" style="238" customWidth="1"/>
    <col min="4104" max="4104" width="13.7109375" style="238" customWidth="1"/>
    <col min="4105" max="4345" width="9" style="238"/>
    <col min="4346" max="4346" width="4.85546875" style="238" customWidth="1"/>
    <col min="4347" max="4347" width="21.42578125" style="238" customWidth="1"/>
    <col min="4348" max="4348" width="15.5703125" style="238" customWidth="1"/>
    <col min="4349" max="4349" width="15.42578125" style="238" customWidth="1"/>
    <col min="4350" max="4350" width="14.28515625" style="238" customWidth="1"/>
    <col min="4351" max="4351" width="12.7109375" style="238" customWidth="1"/>
    <col min="4352" max="4352" width="15.5703125" style="238" customWidth="1"/>
    <col min="4353" max="4353" width="6.28515625" style="238" customWidth="1"/>
    <col min="4354" max="4354" width="16.140625" style="238" customWidth="1"/>
    <col min="4355" max="4355" width="11.85546875" style="238" customWidth="1"/>
    <col min="4356" max="4356" width="14.42578125" style="238" customWidth="1"/>
    <col min="4357" max="4357" width="4.5703125" style="238" customWidth="1"/>
    <col min="4358" max="4358" width="15" style="238" customWidth="1"/>
    <col min="4359" max="4359" width="4.140625" style="238" customWidth="1"/>
    <col min="4360" max="4360" width="13.7109375" style="238" customWidth="1"/>
    <col min="4361" max="4601" width="9" style="238"/>
    <col min="4602" max="4602" width="4.85546875" style="238" customWidth="1"/>
    <col min="4603" max="4603" width="21.42578125" style="238" customWidth="1"/>
    <col min="4604" max="4604" width="15.5703125" style="238" customWidth="1"/>
    <col min="4605" max="4605" width="15.42578125" style="238" customWidth="1"/>
    <col min="4606" max="4606" width="14.28515625" style="238" customWidth="1"/>
    <col min="4607" max="4607" width="12.7109375" style="238" customWidth="1"/>
    <col min="4608" max="4608" width="15.5703125" style="238" customWidth="1"/>
    <col min="4609" max="4609" width="6.28515625" style="238" customWidth="1"/>
    <col min="4610" max="4610" width="16.140625" style="238" customWidth="1"/>
    <col min="4611" max="4611" width="11.85546875" style="238" customWidth="1"/>
    <col min="4612" max="4612" width="14.42578125" style="238" customWidth="1"/>
    <col min="4613" max="4613" width="4.5703125" style="238" customWidth="1"/>
    <col min="4614" max="4614" width="15" style="238" customWidth="1"/>
    <col min="4615" max="4615" width="4.140625" style="238" customWidth="1"/>
    <col min="4616" max="4616" width="13.7109375" style="238" customWidth="1"/>
    <col min="4617" max="4857" width="9" style="238"/>
    <col min="4858" max="4858" width="4.85546875" style="238" customWidth="1"/>
    <col min="4859" max="4859" width="21.42578125" style="238" customWidth="1"/>
    <col min="4860" max="4860" width="15.5703125" style="238" customWidth="1"/>
    <col min="4861" max="4861" width="15.42578125" style="238" customWidth="1"/>
    <col min="4862" max="4862" width="14.28515625" style="238" customWidth="1"/>
    <col min="4863" max="4863" width="12.7109375" style="238" customWidth="1"/>
    <col min="4864" max="4864" width="15.5703125" style="238" customWidth="1"/>
    <col min="4865" max="4865" width="6.28515625" style="238" customWidth="1"/>
    <col min="4866" max="4866" width="16.140625" style="238" customWidth="1"/>
    <col min="4867" max="4867" width="11.85546875" style="238" customWidth="1"/>
    <col min="4868" max="4868" width="14.42578125" style="238" customWidth="1"/>
    <col min="4869" max="4869" width="4.5703125" style="238" customWidth="1"/>
    <col min="4870" max="4870" width="15" style="238" customWidth="1"/>
    <col min="4871" max="4871" width="4.140625" style="238" customWidth="1"/>
    <col min="4872" max="4872" width="13.7109375" style="238" customWidth="1"/>
    <col min="4873" max="5113" width="9" style="238"/>
    <col min="5114" max="5114" width="4.85546875" style="238" customWidth="1"/>
    <col min="5115" max="5115" width="21.42578125" style="238" customWidth="1"/>
    <col min="5116" max="5116" width="15.5703125" style="238" customWidth="1"/>
    <col min="5117" max="5117" width="15.42578125" style="238" customWidth="1"/>
    <col min="5118" max="5118" width="14.28515625" style="238" customWidth="1"/>
    <col min="5119" max="5119" width="12.7109375" style="238" customWidth="1"/>
    <col min="5120" max="5120" width="15.5703125" style="238" customWidth="1"/>
    <col min="5121" max="5121" width="6.28515625" style="238" customWidth="1"/>
    <col min="5122" max="5122" width="16.140625" style="238" customWidth="1"/>
    <col min="5123" max="5123" width="11.85546875" style="238" customWidth="1"/>
    <col min="5124" max="5124" width="14.42578125" style="238" customWidth="1"/>
    <col min="5125" max="5125" width="4.5703125" style="238" customWidth="1"/>
    <col min="5126" max="5126" width="15" style="238" customWidth="1"/>
    <col min="5127" max="5127" width="4.140625" style="238" customWidth="1"/>
    <col min="5128" max="5128" width="13.7109375" style="238" customWidth="1"/>
    <col min="5129" max="5369" width="9" style="238"/>
    <col min="5370" max="5370" width="4.85546875" style="238" customWidth="1"/>
    <col min="5371" max="5371" width="21.42578125" style="238" customWidth="1"/>
    <col min="5372" max="5372" width="15.5703125" style="238" customWidth="1"/>
    <col min="5373" max="5373" width="15.42578125" style="238" customWidth="1"/>
    <col min="5374" max="5374" width="14.28515625" style="238" customWidth="1"/>
    <col min="5375" max="5375" width="12.7109375" style="238" customWidth="1"/>
    <col min="5376" max="5376" width="15.5703125" style="238" customWidth="1"/>
    <col min="5377" max="5377" width="6.28515625" style="238" customWidth="1"/>
    <col min="5378" max="5378" width="16.140625" style="238" customWidth="1"/>
    <col min="5379" max="5379" width="11.85546875" style="238" customWidth="1"/>
    <col min="5380" max="5380" width="14.42578125" style="238" customWidth="1"/>
    <col min="5381" max="5381" width="4.5703125" style="238" customWidth="1"/>
    <col min="5382" max="5382" width="15" style="238" customWidth="1"/>
    <col min="5383" max="5383" width="4.140625" style="238" customWidth="1"/>
    <col min="5384" max="5384" width="13.7109375" style="238" customWidth="1"/>
    <col min="5385" max="5625" width="9" style="238"/>
    <col min="5626" max="5626" width="4.85546875" style="238" customWidth="1"/>
    <col min="5627" max="5627" width="21.42578125" style="238" customWidth="1"/>
    <col min="5628" max="5628" width="15.5703125" style="238" customWidth="1"/>
    <col min="5629" max="5629" width="15.42578125" style="238" customWidth="1"/>
    <col min="5630" max="5630" width="14.28515625" style="238" customWidth="1"/>
    <col min="5631" max="5631" width="12.7109375" style="238" customWidth="1"/>
    <col min="5632" max="5632" width="15.5703125" style="238" customWidth="1"/>
    <col min="5633" max="5633" width="6.28515625" style="238" customWidth="1"/>
    <col min="5634" max="5634" width="16.140625" style="238" customWidth="1"/>
    <col min="5635" max="5635" width="11.85546875" style="238" customWidth="1"/>
    <col min="5636" max="5636" width="14.42578125" style="238" customWidth="1"/>
    <col min="5637" max="5637" width="4.5703125" style="238" customWidth="1"/>
    <col min="5638" max="5638" width="15" style="238" customWidth="1"/>
    <col min="5639" max="5639" width="4.140625" style="238" customWidth="1"/>
    <col min="5640" max="5640" width="13.7109375" style="238" customWidth="1"/>
    <col min="5641" max="5881" width="9" style="238"/>
    <col min="5882" max="5882" width="4.85546875" style="238" customWidth="1"/>
    <col min="5883" max="5883" width="21.42578125" style="238" customWidth="1"/>
    <col min="5884" max="5884" width="15.5703125" style="238" customWidth="1"/>
    <col min="5885" max="5885" width="15.42578125" style="238" customWidth="1"/>
    <col min="5886" max="5886" width="14.28515625" style="238" customWidth="1"/>
    <col min="5887" max="5887" width="12.7109375" style="238" customWidth="1"/>
    <col min="5888" max="5888" width="15.5703125" style="238" customWidth="1"/>
    <col min="5889" max="5889" width="6.28515625" style="238" customWidth="1"/>
    <col min="5890" max="5890" width="16.140625" style="238" customWidth="1"/>
    <col min="5891" max="5891" width="11.85546875" style="238" customWidth="1"/>
    <col min="5892" max="5892" width="14.42578125" style="238" customWidth="1"/>
    <col min="5893" max="5893" width="4.5703125" style="238" customWidth="1"/>
    <col min="5894" max="5894" width="15" style="238" customWidth="1"/>
    <col min="5895" max="5895" width="4.140625" style="238" customWidth="1"/>
    <col min="5896" max="5896" width="13.7109375" style="238" customWidth="1"/>
    <col min="5897" max="6137" width="9" style="238"/>
    <col min="6138" max="6138" width="4.85546875" style="238" customWidth="1"/>
    <col min="6139" max="6139" width="21.42578125" style="238" customWidth="1"/>
    <col min="6140" max="6140" width="15.5703125" style="238" customWidth="1"/>
    <col min="6141" max="6141" width="15.42578125" style="238" customWidth="1"/>
    <col min="6142" max="6142" width="14.28515625" style="238" customWidth="1"/>
    <col min="6143" max="6143" width="12.7109375" style="238" customWidth="1"/>
    <col min="6144" max="6144" width="15.5703125" style="238" customWidth="1"/>
    <col min="6145" max="6145" width="6.28515625" style="238" customWidth="1"/>
    <col min="6146" max="6146" width="16.140625" style="238" customWidth="1"/>
    <col min="6147" max="6147" width="11.85546875" style="238" customWidth="1"/>
    <col min="6148" max="6148" width="14.42578125" style="238" customWidth="1"/>
    <col min="6149" max="6149" width="4.5703125" style="238" customWidth="1"/>
    <col min="6150" max="6150" width="15" style="238" customWidth="1"/>
    <col min="6151" max="6151" width="4.140625" style="238" customWidth="1"/>
    <col min="6152" max="6152" width="13.7109375" style="238" customWidth="1"/>
    <col min="6153" max="6393" width="9" style="238"/>
    <col min="6394" max="6394" width="4.85546875" style="238" customWidth="1"/>
    <col min="6395" max="6395" width="21.42578125" style="238" customWidth="1"/>
    <col min="6396" max="6396" width="15.5703125" style="238" customWidth="1"/>
    <col min="6397" max="6397" width="15.42578125" style="238" customWidth="1"/>
    <col min="6398" max="6398" width="14.28515625" style="238" customWidth="1"/>
    <col min="6399" max="6399" width="12.7109375" style="238" customWidth="1"/>
    <col min="6400" max="6400" width="15.5703125" style="238" customWidth="1"/>
    <col min="6401" max="6401" width="6.28515625" style="238" customWidth="1"/>
    <col min="6402" max="6402" width="16.140625" style="238" customWidth="1"/>
    <col min="6403" max="6403" width="11.85546875" style="238" customWidth="1"/>
    <col min="6404" max="6404" width="14.42578125" style="238" customWidth="1"/>
    <col min="6405" max="6405" width="4.5703125" style="238" customWidth="1"/>
    <col min="6406" max="6406" width="15" style="238" customWidth="1"/>
    <col min="6407" max="6407" width="4.140625" style="238" customWidth="1"/>
    <col min="6408" max="6408" width="13.7109375" style="238" customWidth="1"/>
    <col min="6409" max="6649" width="9" style="238"/>
    <col min="6650" max="6650" width="4.85546875" style="238" customWidth="1"/>
    <col min="6651" max="6651" width="21.42578125" style="238" customWidth="1"/>
    <col min="6652" max="6652" width="15.5703125" style="238" customWidth="1"/>
    <col min="6653" max="6653" width="15.42578125" style="238" customWidth="1"/>
    <col min="6654" max="6654" width="14.28515625" style="238" customWidth="1"/>
    <col min="6655" max="6655" width="12.7109375" style="238" customWidth="1"/>
    <col min="6656" max="6656" width="15.5703125" style="238" customWidth="1"/>
    <col min="6657" max="6657" width="6.28515625" style="238" customWidth="1"/>
    <col min="6658" max="6658" width="16.140625" style="238" customWidth="1"/>
    <col min="6659" max="6659" width="11.85546875" style="238" customWidth="1"/>
    <col min="6660" max="6660" width="14.42578125" style="238" customWidth="1"/>
    <col min="6661" max="6661" width="4.5703125" style="238" customWidth="1"/>
    <col min="6662" max="6662" width="15" style="238" customWidth="1"/>
    <col min="6663" max="6663" width="4.140625" style="238" customWidth="1"/>
    <col min="6664" max="6664" width="13.7109375" style="238" customWidth="1"/>
    <col min="6665" max="6905" width="9" style="238"/>
    <col min="6906" max="6906" width="4.85546875" style="238" customWidth="1"/>
    <col min="6907" max="6907" width="21.42578125" style="238" customWidth="1"/>
    <col min="6908" max="6908" width="15.5703125" style="238" customWidth="1"/>
    <col min="6909" max="6909" width="15.42578125" style="238" customWidth="1"/>
    <col min="6910" max="6910" width="14.28515625" style="238" customWidth="1"/>
    <col min="6911" max="6911" width="12.7109375" style="238" customWidth="1"/>
    <col min="6912" max="6912" width="15.5703125" style="238" customWidth="1"/>
    <col min="6913" max="6913" width="6.28515625" style="238" customWidth="1"/>
    <col min="6914" max="6914" width="16.140625" style="238" customWidth="1"/>
    <col min="6915" max="6915" width="11.85546875" style="238" customWidth="1"/>
    <col min="6916" max="6916" width="14.42578125" style="238" customWidth="1"/>
    <col min="6917" max="6917" width="4.5703125" style="238" customWidth="1"/>
    <col min="6918" max="6918" width="15" style="238" customWidth="1"/>
    <col min="6919" max="6919" width="4.140625" style="238" customWidth="1"/>
    <col min="6920" max="6920" width="13.7109375" style="238" customWidth="1"/>
    <col min="6921" max="7161" width="9" style="238"/>
    <col min="7162" max="7162" width="4.85546875" style="238" customWidth="1"/>
    <col min="7163" max="7163" width="21.42578125" style="238" customWidth="1"/>
    <col min="7164" max="7164" width="15.5703125" style="238" customWidth="1"/>
    <col min="7165" max="7165" width="15.42578125" style="238" customWidth="1"/>
    <col min="7166" max="7166" width="14.28515625" style="238" customWidth="1"/>
    <col min="7167" max="7167" width="12.7109375" style="238" customWidth="1"/>
    <col min="7168" max="7168" width="15.5703125" style="238" customWidth="1"/>
    <col min="7169" max="7169" width="6.28515625" style="238" customWidth="1"/>
    <col min="7170" max="7170" width="16.140625" style="238" customWidth="1"/>
    <col min="7171" max="7171" width="11.85546875" style="238" customWidth="1"/>
    <col min="7172" max="7172" width="14.42578125" style="238" customWidth="1"/>
    <col min="7173" max="7173" width="4.5703125" style="238" customWidth="1"/>
    <col min="7174" max="7174" width="15" style="238" customWidth="1"/>
    <col min="7175" max="7175" width="4.140625" style="238" customWidth="1"/>
    <col min="7176" max="7176" width="13.7109375" style="238" customWidth="1"/>
    <col min="7177" max="7417" width="9" style="238"/>
    <col min="7418" max="7418" width="4.85546875" style="238" customWidth="1"/>
    <col min="7419" max="7419" width="21.42578125" style="238" customWidth="1"/>
    <col min="7420" max="7420" width="15.5703125" style="238" customWidth="1"/>
    <col min="7421" max="7421" width="15.42578125" style="238" customWidth="1"/>
    <col min="7422" max="7422" width="14.28515625" style="238" customWidth="1"/>
    <col min="7423" max="7423" width="12.7109375" style="238" customWidth="1"/>
    <col min="7424" max="7424" width="15.5703125" style="238" customWidth="1"/>
    <col min="7425" max="7425" width="6.28515625" style="238" customWidth="1"/>
    <col min="7426" max="7426" width="16.140625" style="238" customWidth="1"/>
    <col min="7427" max="7427" width="11.85546875" style="238" customWidth="1"/>
    <col min="7428" max="7428" width="14.42578125" style="238" customWidth="1"/>
    <col min="7429" max="7429" width="4.5703125" style="238" customWidth="1"/>
    <col min="7430" max="7430" width="15" style="238" customWidth="1"/>
    <col min="7431" max="7431" width="4.140625" style="238" customWidth="1"/>
    <col min="7432" max="7432" width="13.7109375" style="238" customWidth="1"/>
    <col min="7433" max="7673" width="9" style="238"/>
    <col min="7674" max="7674" width="4.85546875" style="238" customWidth="1"/>
    <col min="7675" max="7675" width="21.42578125" style="238" customWidth="1"/>
    <col min="7676" max="7676" width="15.5703125" style="238" customWidth="1"/>
    <col min="7677" max="7677" width="15.42578125" style="238" customWidth="1"/>
    <col min="7678" max="7678" width="14.28515625" style="238" customWidth="1"/>
    <col min="7679" max="7679" width="12.7109375" style="238" customWidth="1"/>
    <col min="7680" max="7680" width="15.5703125" style="238" customWidth="1"/>
    <col min="7681" max="7681" width="6.28515625" style="238" customWidth="1"/>
    <col min="7682" max="7682" width="16.140625" style="238" customWidth="1"/>
    <col min="7683" max="7683" width="11.85546875" style="238" customWidth="1"/>
    <col min="7684" max="7684" width="14.42578125" style="238" customWidth="1"/>
    <col min="7685" max="7685" width="4.5703125" style="238" customWidth="1"/>
    <col min="7686" max="7686" width="15" style="238" customWidth="1"/>
    <col min="7687" max="7687" width="4.140625" style="238" customWidth="1"/>
    <col min="7688" max="7688" width="13.7109375" style="238" customWidth="1"/>
    <col min="7689" max="7929" width="9" style="238"/>
    <col min="7930" max="7930" width="4.85546875" style="238" customWidth="1"/>
    <col min="7931" max="7931" width="21.42578125" style="238" customWidth="1"/>
    <col min="7932" max="7932" width="15.5703125" style="238" customWidth="1"/>
    <col min="7933" max="7933" width="15.42578125" style="238" customWidth="1"/>
    <col min="7934" max="7934" width="14.28515625" style="238" customWidth="1"/>
    <col min="7935" max="7935" width="12.7109375" style="238" customWidth="1"/>
    <col min="7936" max="7936" width="15.5703125" style="238" customWidth="1"/>
    <col min="7937" max="7937" width="6.28515625" style="238" customWidth="1"/>
    <col min="7938" max="7938" width="16.140625" style="238" customWidth="1"/>
    <col min="7939" max="7939" width="11.85546875" style="238" customWidth="1"/>
    <col min="7940" max="7940" width="14.42578125" style="238" customWidth="1"/>
    <col min="7941" max="7941" width="4.5703125" style="238" customWidth="1"/>
    <col min="7942" max="7942" width="15" style="238" customWidth="1"/>
    <col min="7943" max="7943" width="4.140625" style="238" customWidth="1"/>
    <col min="7944" max="7944" width="13.7109375" style="238" customWidth="1"/>
    <col min="7945" max="8185" width="9" style="238"/>
    <col min="8186" max="8186" width="4.85546875" style="238" customWidth="1"/>
    <col min="8187" max="8187" width="21.42578125" style="238" customWidth="1"/>
    <col min="8188" max="8188" width="15.5703125" style="238" customWidth="1"/>
    <col min="8189" max="8189" width="15.42578125" style="238" customWidth="1"/>
    <col min="8190" max="8190" width="14.28515625" style="238" customWidth="1"/>
    <col min="8191" max="8191" width="12.7109375" style="238" customWidth="1"/>
    <col min="8192" max="8192" width="15.5703125" style="238" customWidth="1"/>
    <col min="8193" max="8193" width="6.28515625" style="238" customWidth="1"/>
    <col min="8194" max="8194" width="16.140625" style="238" customWidth="1"/>
    <col min="8195" max="8195" width="11.85546875" style="238" customWidth="1"/>
    <col min="8196" max="8196" width="14.42578125" style="238" customWidth="1"/>
    <col min="8197" max="8197" width="4.5703125" style="238" customWidth="1"/>
    <col min="8198" max="8198" width="15" style="238" customWidth="1"/>
    <col min="8199" max="8199" width="4.140625" style="238" customWidth="1"/>
    <col min="8200" max="8200" width="13.7109375" style="238" customWidth="1"/>
    <col min="8201" max="8441" width="9" style="238"/>
    <col min="8442" max="8442" width="4.85546875" style="238" customWidth="1"/>
    <col min="8443" max="8443" width="21.42578125" style="238" customWidth="1"/>
    <col min="8444" max="8444" width="15.5703125" style="238" customWidth="1"/>
    <col min="8445" max="8445" width="15.42578125" style="238" customWidth="1"/>
    <col min="8446" max="8446" width="14.28515625" style="238" customWidth="1"/>
    <col min="8447" max="8447" width="12.7109375" style="238" customWidth="1"/>
    <col min="8448" max="8448" width="15.5703125" style="238" customWidth="1"/>
    <col min="8449" max="8449" width="6.28515625" style="238" customWidth="1"/>
    <col min="8450" max="8450" width="16.140625" style="238" customWidth="1"/>
    <col min="8451" max="8451" width="11.85546875" style="238" customWidth="1"/>
    <col min="8452" max="8452" width="14.42578125" style="238" customWidth="1"/>
    <col min="8453" max="8453" width="4.5703125" style="238" customWidth="1"/>
    <col min="8454" max="8454" width="15" style="238" customWidth="1"/>
    <col min="8455" max="8455" width="4.140625" style="238" customWidth="1"/>
    <col min="8456" max="8456" width="13.7109375" style="238" customWidth="1"/>
    <col min="8457" max="8697" width="9" style="238"/>
    <col min="8698" max="8698" width="4.85546875" style="238" customWidth="1"/>
    <col min="8699" max="8699" width="21.42578125" style="238" customWidth="1"/>
    <col min="8700" max="8700" width="15.5703125" style="238" customWidth="1"/>
    <col min="8701" max="8701" width="15.42578125" style="238" customWidth="1"/>
    <col min="8702" max="8702" width="14.28515625" style="238" customWidth="1"/>
    <col min="8703" max="8703" width="12.7109375" style="238" customWidth="1"/>
    <col min="8704" max="8704" width="15.5703125" style="238" customWidth="1"/>
    <col min="8705" max="8705" width="6.28515625" style="238" customWidth="1"/>
    <col min="8706" max="8706" width="16.140625" style="238" customWidth="1"/>
    <col min="8707" max="8707" width="11.85546875" style="238" customWidth="1"/>
    <col min="8708" max="8708" width="14.42578125" style="238" customWidth="1"/>
    <col min="8709" max="8709" width="4.5703125" style="238" customWidth="1"/>
    <col min="8710" max="8710" width="15" style="238" customWidth="1"/>
    <col min="8711" max="8711" width="4.140625" style="238" customWidth="1"/>
    <col min="8712" max="8712" width="13.7109375" style="238" customWidth="1"/>
    <col min="8713" max="8953" width="9" style="238"/>
    <col min="8954" max="8954" width="4.85546875" style="238" customWidth="1"/>
    <col min="8955" max="8955" width="21.42578125" style="238" customWidth="1"/>
    <col min="8956" max="8956" width="15.5703125" style="238" customWidth="1"/>
    <col min="8957" max="8957" width="15.42578125" style="238" customWidth="1"/>
    <col min="8958" max="8958" width="14.28515625" style="238" customWidth="1"/>
    <col min="8959" max="8959" width="12.7109375" style="238" customWidth="1"/>
    <col min="8960" max="8960" width="15.5703125" style="238" customWidth="1"/>
    <col min="8961" max="8961" width="6.28515625" style="238" customWidth="1"/>
    <col min="8962" max="8962" width="16.140625" style="238" customWidth="1"/>
    <col min="8963" max="8963" width="11.85546875" style="238" customWidth="1"/>
    <col min="8964" max="8964" width="14.42578125" style="238" customWidth="1"/>
    <col min="8965" max="8965" width="4.5703125" style="238" customWidth="1"/>
    <col min="8966" max="8966" width="15" style="238" customWidth="1"/>
    <col min="8967" max="8967" width="4.140625" style="238" customWidth="1"/>
    <col min="8968" max="8968" width="13.7109375" style="238" customWidth="1"/>
    <col min="8969" max="9209" width="9" style="238"/>
    <col min="9210" max="9210" width="4.85546875" style="238" customWidth="1"/>
    <col min="9211" max="9211" width="21.42578125" style="238" customWidth="1"/>
    <col min="9212" max="9212" width="15.5703125" style="238" customWidth="1"/>
    <col min="9213" max="9213" width="15.42578125" style="238" customWidth="1"/>
    <col min="9214" max="9214" width="14.28515625" style="238" customWidth="1"/>
    <col min="9215" max="9215" width="12.7109375" style="238" customWidth="1"/>
    <col min="9216" max="9216" width="15.5703125" style="238" customWidth="1"/>
    <col min="9217" max="9217" width="6.28515625" style="238" customWidth="1"/>
    <col min="9218" max="9218" width="16.140625" style="238" customWidth="1"/>
    <col min="9219" max="9219" width="11.85546875" style="238" customWidth="1"/>
    <col min="9220" max="9220" width="14.42578125" style="238" customWidth="1"/>
    <col min="9221" max="9221" width="4.5703125" style="238" customWidth="1"/>
    <col min="9222" max="9222" width="15" style="238" customWidth="1"/>
    <col min="9223" max="9223" width="4.140625" style="238" customWidth="1"/>
    <col min="9224" max="9224" width="13.7109375" style="238" customWidth="1"/>
    <col min="9225" max="9465" width="9" style="238"/>
    <col min="9466" max="9466" width="4.85546875" style="238" customWidth="1"/>
    <col min="9467" max="9467" width="21.42578125" style="238" customWidth="1"/>
    <col min="9468" max="9468" width="15.5703125" style="238" customWidth="1"/>
    <col min="9469" max="9469" width="15.42578125" style="238" customWidth="1"/>
    <col min="9470" max="9470" width="14.28515625" style="238" customWidth="1"/>
    <col min="9471" max="9471" width="12.7109375" style="238" customWidth="1"/>
    <col min="9472" max="9472" width="15.5703125" style="238" customWidth="1"/>
    <col min="9473" max="9473" width="6.28515625" style="238" customWidth="1"/>
    <col min="9474" max="9474" width="16.140625" style="238" customWidth="1"/>
    <col min="9475" max="9475" width="11.85546875" style="238" customWidth="1"/>
    <col min="9476" max="9476" width="14.42578125" style="238" customWidth="1"/>
    <col min="9477" max="9477" width="4.5703125" style="238" customWidth="1"/>
    <col min="9478" max="9478" width="15" style="238" customWidth="1"/>
    <col min="9479" max="9479" width="4.140625" style="238" customWidth="1"/>
    <col min="9480" max="9480" width="13.7109375" style="238" customWidth="1"/>
    <col min="9481" max="9721" width="9" style="238"/>
    <col min="9722" max="9722" width="4.85546875" style="238" customWidth="1"/>
    <col min="9723" max="9723" width="21.42578125" style="238" customWidth="1"/>
    <col min="9724" max="9724" width="15.5703125" style="238" customWidth="1"/>
    <col min="9725" max="9725" width="15.42578125" style="238" customWidth="1"/>
    <col min="9726" max="9726" width="14.28515625" style="238" customWidth="1"/>
    <col min="9727" max="9727" width="12.7109375" style="238" customWidth="1"/>
    <col min="9728" max="9728" width="15.5703125" style="238" customWidth="1"/>
    <col min="9729" max="9729" width="6.28515625" style="238" customWidth="1"/>
    <col min="9730" max="9730" width="16.140625" style="238" customWidth="1"/>
    <col min="9731" max="9731" width="11.85546875" style="238" customWidth="1"/>
    <col min="9732" max="9732" width="14.42578125" style="238" customWidth="1"/>
    <col min="9733" max="9733" width="4.5703125" style="238" customWidth="1"/>
    <col min="9734" max="9734" width="15" style="238" customWidth="1"/>
    <col min="9735" max="9735" width="4.140625" style="238" customWidth="1"/>
    <col min="9736" max="9736" width="13.7109375" style="238" customWidth="1"/>
    <col min="9737" max="9977" width="9" style="238"/>
    <col min="9978" max="9978" width="4.85546875" style="238" customWidth="1"/>
    <col min="9979" max="9979" width="21.42578125" style="238" customWidth="1"/>
    <col min="9980" max="9980" width="15.5703125" style="238" customWidth="1"/>
    <col min="9981" max="9981" width="15.42578125" style="238" customWidth="1"/>
    <col min="9982" max="9982" width="14.28515625" style="238" customWidth="1"/>
    <col min="9983" max="9983" width="12.7109375" style="238" customWidth="1"/>
    <col min="9984" max="9984" width="15.5703125" style="238" customWidth="1"/>
    <col min="9985" max="9985" width="6.28515625" style="238" customWidth="1"/>
    <col min="9986" max="9986" width="16.140625" style="238" customWidth="1"/>
    <col min="9987" max="9987" width="11.85546875" style="238" customWidth="1"/>
    <col min="9988" max="9988" width="14.42578125" style="238" customWidth="1"/>
    <col min="9989" max="9989" width="4.5703125" style="238" customWidth="1"/>
    <col min="9990" max="9990" width="15" style="238" customWidth="1"/>
    <col min="9991" max="9991" width="4.140625" style="238" customWidth="1"/>
    <col min="9992" max="9992" width="13.7109375" style="238" customWidth="1"/>
    <col min="9993" max="10233" width="9" style="238"/>
    <col min="10234" max="10234" width="4.85546875" style="238" customWidth="1"/>
    <col min="10235" max="10235" width="21.42578125" style="238" customWidth="1"/>
    <col min="10236" max="10236" width="15.5703125" style="238" customWidth="1"/>
    <col min="10237" max="10237" width="15.42578125" style="238" customWidth="1"/>
    <col min="10238" max="10238" width="14.28515625" style="238" customWidth="1"/>
    <col min="10239" max="10239" width="12.7109375" style="238" customWidth="1"/>
    <col min="10240" max="10240" width="15.5703125" style="238" customWidth="1"/>
    <col min="10241" max="10241" width="6.28515625" style="238" customWidth="1"/>
    <col min="10242" max="10242" width="16.140625" style="238" customWidth="1"/>
    <col min="10243" max="10243" width="11.85546875" style="238" customWidth="1"/>
    <col min="10244" max="10244" width="14.42578125" style="238" customWidth="1"/>
    <col min="10245" max="10245" width="4.5703125" style="238" customWidth="1"/>
    <col min="10246" max="10246" width="15" style="238" customWidth="1"/>
    <col min="10247" max="10247" width="4.140625" style="238" customWidth="1"/>
    <col min="10248" max="10248" width="13.7109375" style="238" customWidth="1"/>
    <col min="10249" max="10489" width="9" style="238"/>
    <col min="10490" max="10490" width="4.85546875" style="238" customWidth="1"/>
    <col min="10491" max="10491" width="21.42578125" style="238" customWidth="1"/>
    <col min="10492" max="10492" width="15.5703125" style="238" customWidth="1"/>
    <col min="10493" max="10493" width="15.42578125" style="238" customWidth="1"/>
    <col min="10494" max="10494" width="14.28515625" style="238" customWidth="1"/>
    <col min="10495" max="10495" width="12.7109375" style="238" customWidth="1"/>
    <col min="10496" max="10496" width="15.5703125" style="238" customWidth="1"/>
    <col min="10497" max="10497" width="6.28515625" style="238" customWidth="1"/>
    <col min="10498" max="10498" width="16.140625" style="238" customWidth="1"/>
    <col min="10499" max="10499" width="11.85546875" style="238" customWidth="1"/>
    <col min="10500" max="10500" width="14.42578125" style="238" customWidth="1"/>
    <col min="10501" max="10501" width="4.5703125" style="238" customWidth="1"/>
    <col min="10502" max="10502" width="15" style="238" customWidth="1"/>
    <col min="10503" max="10503" width="4.140625" style="238" customWidth="1"/>
    <col min="10504" max="10504" width="13.7109375" style="238" customWidth="1"/>
    <col min="10505" max="10745" width="9" style="238"/>
    <col min="10746" max="10746" width="4.85546875" style="238" customWidth="1"/>
    <col min="10747" max="10747" width="21.42578125" style="238" customWidth="1"/>
    <col min="10748" max="10748" width="15.5703125" style="238" customWidth="1"/>
    <col min="10749" max="10749" width="15.42578125" style="238" customWidth="1"/>
    <col min="10750" max="10750" width="14.28515625" style="238" customWidth="1"/>
    <col min="10751" max="10751" width="12.7109375" style="238" customWidth="1"/>
    <col min="10752" max="10752" width="15.5703125" style="238" customWidth="1"/>
    <col min="10753" max="10753" width="6.28515625" style="238" customWidth="1"/>
    <col min="10754" max="10754" width="16.140625" style="238" customWidth="1"/>
    <col min="10755" max="10755" width="11.85546875" style="238" customWidth="1"/>
    <col min="10756" max="10756" width="14.42578125" style="238" customWidth="1"/>
    <col min="10757" max="10757" width="4.5703125" style="238" customWidth="1"/>
    <col min="10758" max="10758" width="15" style="238" customWidth="1"/>
    <col min="10759" max="10759" width="4.140625" style="238" customWidth="1"/>
    <col min="10760" max="10760" width="13.7109375" style="238" customWidth="1"/>
    <col min="10761" max="11001" width="9" style="238"/>
    <col min="11002" max="11002" width="4.85546875" style="238" customWidth="1"/>
    <col min="11003" max="11003" width="21.42578125" style="238" customWidth="1"/>
    <col min="11004" max="11004" width="15.5703125" style="238" customWidth="1"/>
    <col min="11005" max="11005" width="15.42578125" style="238" customWidth="1"/>
    <col min="11006" max="11006" width="14.28515625" style="238" customWidth="1"/>
    <col min="11007" max="11007" width="12.7109375" style="238" customWidth="1"/>
    <col min="11008" max="11008" width="15.5703125" style="238" customWidth="1"/>
    <col min="11009" max="11009" width="6.28515625" style="238" customWidth="1"/>
    <col min="11010" max="11010" width="16.140625" style="238" customWidth="1"/>
    <col min="11011" max="11011" width="11.85546875" style="238" customWidth="1"/>
    <col min="11012" max="11012" width="14.42578125" style="238" customWidth="1"/>
    <col min="11013" max="11013" width="4.5703125" style="238" customWidth="1"/>
    <col min="11014" max="11014" width="15" style="238" customWidth="1"/>
    <col min="11015" max="11015" width="4.140625" style="238" customWidth="1"/>
    <col min="11016" max="11016" width="13.7109375" style="238" customWidth="1"/>
    <col min="11017" max="11257" width="9" style="238"/>
    <col min="11258" max="11258" width="4.85546875" style="238" customWidth="1"/>
    <col min="11259" max="11259" width="21.42578125" style="238" customWidth="1"/>
    <col min="11260" max="11260" width="15.5703125" style="238" customWidth="1"/>
    <col min="11261" max="11261" width="15.42578125" style="238" customWidth="1"/>
    <col min="11262" max="11262" width="14.28515625" style="238" customWidth="1"/>
    <col min="11263" max="11263" width="12.7109375" style="238" customWidth="1"/>
    <col min="11264" max="11264" width="15.5703125" style="238" customWidth="1"/>
    <col min="11265" max="11265" width="6.28515625" style="238" customWidth="1"/>
    <col min="11266" max="11266" width="16.140625" style="238" customWidth="1"/>
    <col min="11267" max="11267" width="11.85546875" style="238" customWidth="1"/>
    <col min="11268" max="11268" width="14.42578125" style="238" customWidth="1"/>
    <col min="11269" max="11269" width="4.5703125" style="238" customWidth="1"/>
    <col min="11270" max="11270" width="15" style="238" customWidth="1"/>
    <col min="11271" max="11271" width="4.140625" style="238" customWidth="1"/>
    <col min="11272" max="11272" width="13.7109375" style="238" customWidth="1"/>
    <col min="11273" max="11513" width="9" style="238"/>
    <col min="11514" max="11514" width="4.85546875" style="238" customWidth="1"/>
    <col min="11515" max="11515" width="21.42578125" style="238" customWidth="1"/>
    <col min="11516" max="11516" width="15.5703125" style="238" customWidth="1"/>
    <col min="11517" max="11517" width="15.42578125" style="238" customWidth="1"/>
    <col min="11518" max="11518" width="14.28515625" style="238" customWidth="1"/>
    <col min="11519" max="11519" width="12.7109375" style="238" customWidth="1"/>
    <col min="11520" max="11520" width="15.5703125" style="238" customWidth="1"/>
    <col min="11521" max="11521" width="6.28515625" style="238" customWidth="1"/>
    <col min="11522" max="11522" width="16.140625" style="238" customWidth="1"/>
    <col min="11523" max="11523" width="11.85546875" style="238" customWidth="1"/>
    <col min="11524" max="11524" width="14.42578125" style="238" customWidth="1"/>
    <col min="11525" max="11525" width="4.5703125" style="238" customWidth="1"/>
    <col min="11526" max="11526" width="15" style="238" customWidth="1"/>
    <col min="11527" max="11527" width="4.140625" style="238" customWidth="1"/>
    <col min="11528" max="11528" width="13.7109375" style="238" customWidth="1"/>
    <col min="11529" max="11769" width="9" style="238"/>
    <col min="11770" max="11770" width="4.85546875" style="238" customWidth="1"/>
    <col min="11771" max="11771" width="21.42578125" style="238" customWidth="1"/>
    <col min="11772" max="11772" width="15.5703125" style="238" customWidth="1"/>
    <col min="11773" max="11773" width="15.42578125" style="238" customWidth="1"/>
    <col min="11774" max="11774" width="14.28515625" style="238" customWidth="1"/>
    <col min="11775" max="11775" width="12.7109375" style="238" customWidth="1"/>
    <col min="11776" max="11776" width="15.5703125" style="238" customWidth="1"/>
    <col min="11777" max="11777" width="6.28515625" style="238" customWidth="1"/>
    <col min="11778" max="11778" width="16.140625" style="238" customWidth="1"/>
    <col min="11779" max="11779" width="11.85546875" style="238" customWidth="1"/>
    <col min="11780" max="11780" width="14.42578125" style="238" customWidth="1"/>
    <col min="11781" max="11781" width="4.5703125" style="238" customWidth="1"/>
    <col min="11782" max="11782" width="15" style="238" customWidth="1"/>
    <col min="11783" max="11783" width="4.140625" style="238" customWidth="1"/>
    <col min="11784" max="11784" width="13.7109375" style="238" customWidth="1"/>
    <col min="11785" max="12025" width="9" style="238"/>
    <col min="12026" max="12026" width="4.85546875" style="238" customWidth="1"/>
    <col min="12027" max="12027" width="21.42578125" style="238" customWidth="1"/>
    <col min="12028" max="12028" width="15.5703125" style="238" customWidth="1"/>
    <col min="12029" max="12029" width="15.42578125" style="238" customWidth="1"/>
    <col min="12030" max="12030" width="14.28515625" style="238" customWidth="1"/>
    <col min="12031" max="12031" width="12.7109375" style="238" customWidth="1"/>
    <col min="12032" max="12032" width="15.5703125" style="238" customWidth="1"/>
    <col min="12033" max="12033" width="6.28515625" style="238" customWidth="1"/>
    <col min="12034" max="12034" width="16.140625" style="238" customWidth="1"/>
    <col min="12035" max="12035" width="11.85546875" style="238" customWidth="1"/>
    <col min="12036" max="12036" width="14.42578125" style="238" customWidth="1"/>
    <col min="12037" max="12037" width="4.5703125" style="238" customWidth="1"/>
    <col min="12038" max="12038" width="15" style="238" customWidth="1"/>
    <col min="12039" max="12039" width="4.140625" style="238" customWidth="1"/>
    <col min="12040" max="12040" width="13.7109375" style="238" customWidth="1"/>
    <col min="12041" max="12281" width="9" style="238"/>
    <col min="12282" max="12282" width="4.85546875" style="238" customWidth="1"/>
    <col min="12283" max="12283" width="21.42578125" style="238" customWidth="1"/>
    <col min="12284" max="12284" width="15.5703125" style="238" customWidth="1"/>
    <col min="12285" max="12285" width="15.42578125" style="238" customWidth="1"/>
    <col min="12286" max="12286" width="14.28515625" style="238" customWidth="1"/>
    <col min="12287" max="12287" width="12.7109375" style="238" customWidth="1"/>
    <col min="12288" max="12288" width="15.5703125" style="238" customWidth="1"/>
    <col min="12289" max="12289" width="6.28515625" style="238" customWidth="1"/>
    <col min="12290" max="12290" width="16.140625" style="238" customWidth="1"/>
    <col min="12291" max="12291" width="11.85546875" style="238" customWidth="1"/>
    <col min="12292" max="12292" width="14.42578125" style="238" customWidth="1"/>
    <col min="12293" max="12293" width="4.5703125" style="238" customWidth="1"/>
    <col min="12294" max="12294" width="15" style="238" customWidth="1"/>
    <col min="12295" max="12295" width="4.140625" style="238" customWidth="1"/>
    <col min="12296" max="12296" width="13.7109375" style="238" customWidth="1"/>
    <col min="12297" max="12537" width="9" style="238"/>
    <col min="12538" max="12538" width="4.85546875" style="238" customWidth="1"/>
    <col min="12539" max="12539" width="21.42578125" style="238" customWidth="1"/>
    <col min="12540" max="12540" width="15.5703125" style="238" customWidth="1"/>
    <col min="12541" max="12541" width="15.42578125" style="238" customWidth="1"/>
    <col min="12542" max="12542" width="14.28515625" style="238" customWidth="1"/>
    <col min="12543" max="12543" width="12.7109375" style="238" customWidth="1"/>
    <col min="12544" max="12544" width="15.5703125" style="238" customWidth="1"/>
    <col min="12545" max="12545" width="6.28515625" style="238" customWidth="1"/>
    <col min="12546" max="12546" width="16.140625" style="238" customWidth="1"/>
    <col min="12547" max="12547" width="11.85546875" style="238" customWidth="1"/>
    <col min="12548" max="12548" width="14.42578125" style="238" customWidth="1"/>
    <col min="12549" max="12549" width="4.5703125" style="238" customWidth="1"/>
    <col min="12550" max="12550" width="15" style="238" customWidth="1"/>
    <col min="12551" max="12551" width="4.140625" style="238" customWidth="1"/>
    <col min="12552" max="12552" width="13.7109375" style="238" customWidth="1"/>
    <col min="12553" max="12793" width="9" style="238"/>
    <col min="12794" max="12794" width="4.85546875" style="238" customWidth="1"/>
    <col min="12795" max="12795" width="21.42578125" style="238" customWidth="1"/>
    <col min="12796" max="12796" width="15.5703125" style="238" customWidth="1"/>
    <col min="12797" max="12797" width="15.42578125" style="238" customWidth="1"/>
    <col min="12798" max="12798" width="14.28515625" style="238" customWidth="1"/>
    <col min="12799" max="12799" width="12.7109375" style="238" customWidth="1"/>
    <col min="12800" max="12800" width="15.5703125" style="238" customWidth="1"/>
    <col min="12801" max="12801" width="6.28515625" style="238" customWidth="1"/>
    <col min="12802" max="12802" width="16.140625" style="238" customWidth="1"/>
    <col min="12803" max="12803" width="11.85546875" style="238" customWidth="1"/>
    <col min="12804" max="12804" width="14.42578125" style="238" customWidth="1"/>
    <col min="12805" max="12805" width="4.5703125" style="238" customWidth="1"/>
    <col min="12806" max="12806" width="15" style="238" customWidth="1"/>
    <col min="12807" max="12807" width="4.140625" style="238" customWidth="1"/>
    <col min="12808" max="12808" width="13.7109375" style="238" customWidth="1"/>
    <col min="12809" max="13049" width="9" style="238"/>
    <col min="13050" max="13050" width="4.85546875" style="238" customWidth="1"/>
    <col min="13051" max="13051" width="21.42578125" style="238" customWidth="1"/>
    <col min="13052" max="13052" width="15.5703125" style="238" customWidth="1"/>
    <col min="13053" max="13053" width="15.42578125" style="238" customWidth="1"/>
    <col min="13054" max="13054" width="14.28515625" style="238" customWidth="1"/>
    <col min="13055" max="13055" width="12.7109375" style="238" customWidth="1"/>
    <col min="13056" max="13056" width="15.5703125" style="238" customWidth="1"/>
    <col min="13057" max="13057" width="6.28515625" style="238" customWidth="1"/>
    <col min="13058" max="13058" width="16.140625" style="238" customWidth="1"/>
    <col min="13059" max="13059" width="11.85546875" style="238" customWidth="1"/>
    <col min="13060" max="13060" width="14.42578125" style="238" customWidth="1"/>
    <col min="13061" max="13061" width="4.5703125" style="238" customWidth="1"/>
    <col min="13062" max="13062" width="15" style="238" customWidth="1"/>
    <col min="13063" max="13063" width="4.140625" style="238" customWidth="1"/>
    <col min="13064" max="13064" width="13.7109375" style="238" customWidth="1"/>
    <col min="13065" max="13305" width="9" style="238"/>
    <col min="13306" max="13306" width="4.85546875" style="238" customWidth="1"/>
    <col min="13307" max="13307" width="21.42578125" style="238" customWidth="1"/>
    <col min="13308" max="13308" width="15.5703125" style="238" customWidth="1"/>
    <col min="13309" max="13309" width="15.42578125" style="238" customWidth="1"/>
    <col min="13310" max="13310" width="14.28515625" style="238" customWidth="1"/>
    <col min="13311" max="13311" width="12.7109375" style="238" customWidth="1"/>
    <col min="13312" max="13312" width="15.5703125" style="238" customWidth="1"/>
    <col min="13313" max="13313" width="6.28515625" style="238" customWidth="1"/>
    <col min="13314" max="13314" width="16.140625" style="238" customWidth="1"/>
    <col min="13315" max="13315" width="11.85546875" style="238" customWidth="1"/>
    <col min="13316" max="13316" width="14.42578125" style="238" customWidth="1"/>
    <col min="13317" max="13317" width="4.5703125" style="238" customWidth="1"/>
    <col min="13318" max="13318" width="15" style="238" customWidth="1"/>
    <col min="13319" max="13319" width="4.140625" style="238" customWidth="1"/>
    <col min="13320" max="13320" width="13.7109375" style="238" customWidth="1"/>
    <col min="13321" max="13561" width="9" style="238"/>
    <col min="13562" max="13562" width="4.85546875" style="238" customWidth="1"/>
    <col min="13563" max="13563" width="21.42578125" style="238" customWidth="1"/>
    <col min="13564" max="13564" width="15.5703125" style="238" customWidth="1"/>
    <col min="13565" max="13565" width="15.42578125" style="238" customWidth="1"/>
    <col min="13566" max="13566" width="14.28515625" style="238" customWidth="1"/>
    <col min="13567" max="13567" width="12.7109375" style="238" customWidth="1"/>
    <col min="13568" max="13568" width="15.5703125" style="238" customWidth="1"/>
    <col min="13569" max="13569" width="6.28515625" style="238" customWidth="1"/>
    <col min="13570" max="13570" width="16.140625" style="238" customWidth="1"/>
    <col min="13571" max="13571" width="11.85546875" style="238" customWidth="1"/>
    <col min="13572" max="13572" width="14.42578125" style="238" customWidth="1"/>
    <col min="13573" max="13573" width="4.5703125" style="238" customWidth="1"/>
    <col min="13574" max="13574" width="15" style="238" customWidth="1"/>
    <col min="13575" max="13575" width="4.140625" style="238" customWidth="1"/>
    <col min="13576" max="13576" width="13.7109375" style="238" customWidth="1"/>
    <col min="13577" max="13817" width="9" style="238"/>
    <col min="13818" max="13818" width="4.85546875" style="238" customWidth="1"/>
    <col min="13819" max="13819" width="21.42578125" style="238" customWidth="1"/>
    <col min="13820" max="13820" width="15.5703125" style="238" customWidth="1"/>
    <col min="13821" max="13821" width="15.42578125" style="238" customWidth="1"/>
    <col min="13822" max="13822" width="14.28515625" style="238" customWidth="1"/>
    <col min="13823" max="13823" width="12.7109375" style="238" customWidth="1"/>
    <col min="13824" max="13824" width="15.5703125" style="238" customWidth="1"/>
    <col min="13825" max="13825" width="6.28515625" style="238" customWidth="1"/>
    <col min="13826" max="13826" width="16.140625" style="238" customWidth="1"/>
    <col min="13827" max="13827" width="11.85546875" style="238" customWidth="1"/>
    <col min="13828" max="13828" width="14.42578125" style="238" customWidth="1"/>
    <col min="13829" max="13829" width="4.5703125" style="238" customWidth="1"/>
    <col min="13830" max="13830" width="15" style="238" customWidth="1"/>
    <col min="13831" max="13831" width="4.140625" style="238" customWidth="1"/>
    <col min="13832" max="13832" width="13.7109375" style="238" customWidth="1"/>
    <col min="13833" max="14073" width="9" style="238"/>
    <col min="14074" max="14074" width="4.85546875" style="238" customWidth="1"/>
    <col min="14075" max="14075" width="21.42578125" style="238" customWidth="1"/>
    <col min="14076" max="14076" width="15.5703125" style="238" customWidth="1"/>
    <col min="14077" max="14077" width="15.42578125" style="238" customWidth="1"/>
    <col min="14078" max="14078" width="14.28515625" style="238" customWidth="1"/>
    <col min="14079" max="14079" width="12.7109375" style="238" customWidth="1"/>
    <col min="14080" max="14080" width="15.5703125" style="238" customWidth="1"/>
    <col min="14081" max="14081" width="6.28515625" style="238" customWidth="1"/>
    <col min="14082" max="14082" width="16.140625" style="238" customWidth="1"/>
    <col min="14083" max="14083" width="11.85546875" style="238" customWidth="1"/>
    <col min="14084" max="14084" width="14.42578125" style="238" customWidth="1"/>
    <col min="14085" max="14085" width="4.5703125" style="238" customWidth="1"/>
    <col min="14086" max="14086" width="15" style="238" customWidth="1"/>
    <col min="14087" max="14087" width="4.140625" style="238" customWidth="1"/>
    <col min="14088" max="14088" width="13.7109375" style="238" customWidth="1"/>
    <col min="14089" max="14329" width="9" style="238"/>
    <col min="14330" max="14330" width="4.85546875" style="238" customWidth="1"/>
    <col min="14331" max="14331" width="21.42578125" style="238" customWidth="1"/>
    <col min="14332" max="14332" width="15.5703125" style="238" customWidth="1"/>
    <col min="14333" max="14333" width="15.42578125" style="238" customWidth="1"/>
    <col min="14334" max="14334" width="14.28515625" style="238" customWidth="1"/>
    <col min="14335" max="14335" width="12.7109375" style="238" customWidth="1"/>
    <col min="14336" max="14336" width="15.5703125" style="238" customWidth="1"/>
    <col min="14337" max="14337" width="6.28515625" style="238" customWidth="1"/>
    <col min="14338" max="14338" width="16.140625" style="238" customWidth="1"/>
    <col min="14339" max="14339" width="11.85546875" style="238" customWidth="1"/>
    <col min="14340" max="14340" width="14.42578125" style="238" customWidth="1"/>
    <col min="14341" max="14341" width="4.5703125" style="238" customWidth="1"/>
    <col min="14342" max="14342" width="15" style="238" customWidth="1"/>
    <col min="14343" max="14343" width="4.140625" style="238" customWidth="1"/>
    <col min="14344" max="14344" width="13.7109375" style="238" customWidth="1"/>
    <col min="14345" max="14585" width="9" style="238"/>
    <col min="14586" max="14586" width="4.85546875" style="238" customWidth="1"/>
    <col min="14587" max="14587" width="21.42578125" style="238" customWidth="1"/>
    <col min="14588" max="14588" width="15.5703125" style="238" customWidth="1"/>
    <col min="14589" max="14589" width="15.42578125" style="238" customWidth="1"/>
    <col min="14590" max="14590" width="14.28515625" style="238" customWidth="1"/>
    <col min="14591" max="14591" width="12.7109375" style="238" customWidth="1"/>
    <col min="14592" max="14592" width="15.5703125" style="238" customWidth="1"/>
    <col min="14593" max="14593" width="6.28515625" style="238" customWidth="1"/>
    <col min="14594" max="14594" width="16.140625" style="238" customWidth="1"/>
    <col min="14595" max="14595" width="11.85546875" style="238" customWidth="1"/>
    <col min="14596" max="14596" width="14.42578125" style="238" customWidth="1"/>
    <col min="14597" max="14597" width="4.5703125" style="238" customWidth="1"/>
    <col min="14598" max="14598" width="15" style="238" customWidth="1"/>
    <col min="14599" max="14599" width="4.140625" style="238" customWidth="1"/>
    <col min="14600" max="14600" width="13.7109375" style="238" customWidth="1"/>
    <col min="14601" max="14841" width="9" style="238"/>
    <col min="14842" max="14842" width="4.85546875" style="238" customWidth="1"/>
    <col min="14843" max="14843" width="21.42578125" style="238" customWidth="1"/>
    <col min="14844" max="14844" width="15.5703125" style="238" customWidth="1"/>
    <col min="14845" max="14845" width="15.42578125" style="238" customWidth="1"/>
    <col min="14846" max="14846" width="14.28515625" style="238" customWidth="1"/>
    <col min="14847" max="14847" width="12.7109375" style="238" customWidth="1"/>
    <col min="14848" max="14848" width="15.5703125" style="238" customWidth="1"/>
    <col min="14849" max="14849" width="6.28515625" style="238" customWidth="1"/>
    <col min="14850" max="14850" width="16.140625" style="238" customWidth="1"/>
    <col min="14851" max="14851" width="11.85546875" style="238" customWidth="1"/>
    <col min="14852" max="14852" width="14.42578125" style="238" customWidth="1"/>
    <col min="14853" max="14853" width="4.5703125" style="238" customWidth="1"/>
    <col min="14854" max="14854" width="15" style="238" customWidth="1"/>
    <col min="14855" max="14855" width="4.140625" style="238" customWidth="1"/>
    <col min="14856" max="14856" width="13.7109375" style="238" customWidth="1"/>
    <col min="14857" max="15097" width="9" style="238"/>
    <col min="15098" max="15098" width="4.85546875" style="238" customWidth="1"/>
    <col min="15099" max="15099" width="21.42578125" style="238" customWidth="1"/>
    <col min="15100" max="15100" width="15.5703125" style="238" customWidth="1"/>
    <col min="15101" max="15101" width="15.42578125" style="238" customWidth="1"/>
    <col min="15102" max="15102" width="14.28515625" style="238" customWidth="1"/>
    <col min="15103" max="15103" width="12.7109375" style="238" customWidth="1"/>
    <col min="15104" max="15104" width="15.5703125" style="238" customWidth="1"/>
    <col min="15105" max="15105" width="6.28515625" style="238" customWidth="1"/>
    <col min="15106" max="15106" width="16.140625" style="238" customWidth="1"/>
    <col min="15107" max="15107" width="11.85546875" style="238" customWidth="1"/>
    <col min="15108" max="15108" width="14.42578125" style="238" customWidth="1"/>
    <col min="15109" max="15109" width="4.5703125" style="238" customWidth="1"/>
    <col min="15110" max="15110" width="15" style="238" customWidth="1"/>
    <col min="15111" max="15111" width="4.140625" style="238" customWidth="1"/>
    <col min="15112" max="15112" width="13.7109375" style="238" customWidth="1"/>
    <col min="15113" max="15353" width="9" style="238"/>
    <col min="15354" max="15354" width="4.85546875" style="238" customWidth="1"/>
    <col min="15355" max="15355" width="21.42578125" style="238" customWidth="1"/>
    <col min="15356" max="15356" width="15.5703125" style="238" customWidth="1"/>
    <col min="15357" max="15357" width="15.42578125" style="238" customWidth="1"/>
    <col min="15358" max="15358" width="14.28515625" style="238" customWidth="1"/>
    <col min="15359" max="15359" width="12.7109375" style="238" customWidth="1"/>
    <col min="15360" max="15360" width="15.5703125" style="238" customWidth="1"/>
    <col min="15361" max="15361" width="6.28515625" style="238" customWidth="1"/>
    <col min="15362" max="15362" width="16.140625" style="238" customWidth="1"/>
    <col min="15363" max="15363" width="11.85546875" style="238" customWidth="1"/>
    <col min="15364" max="15364" width="14.42578125" style="238" customWidth="1"/>
    <col min="15365" max="15365" width="4.5703125" style="238" customWidth="1"/>
    <col min="15366" max="15366" width="15" style="238" customWidth="1"/>
    <col min="15367" max="15367" width="4.140625" style="238" customWidth="1"/>
    <col min="15368" max="15368" width="13.7109375" style="238" customWidth="1"/>
    <col min="15369" max="15609" width="9" style="238"/>
    <col min="15610" max="15610" width="4.85546875" style="238" customWidth="1"/>
    <col min="15611" max="15611" width="21.42578125" style="238" customWidth="1"/>
    <col min="15612" max="15612" width="15.5703125" style="238" customWidth="1"/>
    <col min="15613" max="15613" width="15.42578125" style="238" customWidth="1"/>
    <col min="15614" max="15614" width="14.28515625" style="238" customWidth="1"/>
    <col min="15615" max="15615" width="12.7109375" style="238" customWidth="1"/>
    <col min="15616" max="15616" width="15.5703125" style="238" customWidth="1"/>
    <col min="15617" max="15617" width="6.28515625" style="238" customWidth="1"/>
    <col min="15618" max="15618" width="16.140625" style="238" customWidth="1"/>
    <col min="15619" max="15619" width="11.85546875" style="238" customWidth="1"/>
    <col min="15620" max="15620" width="14.42578125" style="238" customWidth="1"/>
    <col min="15621" max="15621" width="4.5703125" style="238" customWidth="1"/>
    <col min="15622" max="15622" width="15" style="238" customWidth="1"/>
    <col min="15623" max="15623" width="4.140625" style="238" customWidth="1"/>
    <col min="15624" max="15624" width="13.7109375" style="238" customWidth="1"/>
    <col min="15625" max="15865" width="9" style="238"/>
    <col min="15866" max="15866" width="4.85546875" style="238" customWidth="1"/>
    <col min="15867" max="15867" width="21.42578125" style="238" customWidth="1"/>
    <col min="15868" max="15868" width="15.5703125" style="238" customWidth="1"/>
    <col min="15869" max="15869" width="15.42578125" style="238" customWidth="1"/>
    <col min="15870" max="15870" width="14.28515625" style="238" customWidth="1"/>
    <col min="15871" max="15871" width="12.7109375" style="238" customWidth="1"/>
    <col min="15872" max="15872" width="15.5703125" style="238" customWidth="1"/>
    <col min="15873" max="15873" width="6.28515625" style="238" customWidth="1"/>
    <col min="15874" max="15874" width="16.140625" style="238" customWidth="1"/>
    <col min="15875" max="15875" width="11.85546875" style="238" customWidth="1"/>
    <col min="15876" max="15876" width="14.42578125" style="238" customWidth="1"/>
    <col min="15877" max="15877" width="4.5703125" style="238" customWidth="1"/>
    <col min="15878" max="15878" width="15" style="238" customWidth="1"/>
    <col min="15879" max="15879" width="4.140625" style="238" customWidth="1"/>
    <col min="15880" max="15880" width="13.7109375" style="238" customWidth="1"/>
    <col min="15881" max="16121" width="9" style="238"/>
    <col min="16122" max="16122" width="4.85546875" style="238" customWidth="1"/>
    <col min="16123" max="16123" width="21.42578125" style="238" customWidth="1"/>
    <col min="16124" max="16124" width="15.5703125" style="238" customWidth="1"/>
    <col min="16125" max="16125" width="15.42578125" style="238" customWidth="1"/>
    <col min="16126" max="16126" width="14.28515625" style="238" customWidth="1"/>
    <col min="16127" max="16127" width="12.7109375" style="238" customWidth="1"/>
    <col min="16128" max="16128" width="15.5703125" style="238" customWidth="1"/>
    <col min="16129" max="16129" width="6.28515625" style="238" customWidth="1"/>
    <col min="16130" max="16130" width="16.140625" style="238" customWidth="1"/>
    <col min="16131" max="16131" width="11.85546875" style="238" customWidth="1"/>
    <col min="16132" max="16132" width="14.42578125" style="238" customWidth="1"/>
    <col min="16133" max="16133" width="4.5703125" style="238" customWidth="1"/>
    <col min="16134" max="16134" width="15" style="238" customWidth="1"/>
    <col min="16135" max="16135" width="4.140625" style="238" customWidth="1"/>
    <col min="16136" max="16136" width="13.7109375" style="238" customWidth="1"/>
    <col min="16137" max="16384" width="9" style="238"/>
  </cols>
  <sheetData>
    <row r="1" spans="1:10" ht="21" customHeight="1" x14ac:dyDescent="0.25">
      <c r="A1" s="804" t="s">
        <v>416</v>
      </c>
      <c r="B1" s="804"/>
      <c r="C1" s="804"/>
      <c r="D1" s="804"/>
      <c r="E1" s="804"/>
      <c r="F1" s="804"/>
      <c r="G1" s="804"/>
      <c r="H1" s="804"/>
    </row>
    <row r="2" spans="1:10" ht="24" customHeight="1" x14ac:dyDescent="0.25">
      <c r="A2" s="805" t="s">
        <v>472</v>
      </c>
      <c r="B2" s="805"/>
      <c r="C2" s="805"/>
      <c r="D2" s="805"/>
      <c r="E2" s="805"/>
      <c r="F2" s="805"/>
      <c r="G2" s="805"/>
      <c r="H2" s="805"/>
    </row>
    <row r="3" spans="1:10" ht="19.5" customHeight="1" x14ac:dyDescent="0.25">
      <c r="A3" s="806" t="str">
        <f>'Thu 2024'!A4:E4</f>
        <v>(Kèm theo Báo cáo số:   449  /BC-UBND ngày   30 /11/2025 của UBND xã Cao Minh)</v>
      </c>
      <c r="B3" s="806"/>
      <c r="C3" s="806"/>
      <c r="D3" s="806"/>
      <c r="E3" s="806"/>
      <c r="F3" s="806"/>
      <c r="G3" s="806"/>
      <c r="H3" s="806"/>
    </row>
    <row r="4" spans="1:10" ht="18" customHeight="1" x14ac:dyDescent="0.25">
      <c r="A4" s="240"/>
      <c r="B4" s="240"/>
      <c r="C4" s="807" t="s">
        <v>228</v>
      </c>
      <c r="D4" s="807"/>
      <c r="E4" s="807"/>
      <c r="F4" s="807"/>
      <c r="G4" s="807"/>
      <c r="H4" s="807"/>
    </row>
    <row r="5" spans="1:10" s="242" customFormat="1" ht="24" customHeight="1" x14ac:dyDescent="0.25">
      <c r="A5" s="808" t="s">
        <v>0</v>
      </c>
      <c r="B5" s="808" t="s">
        <v>446</v>
      </c>
      <c r="C5" s="809" t="s">
        <v>372</v>
      </c>
      <c r="D5" s="810"/>
      <c r="E5" s="810"/>
      <c r="F5" s="811"/>
      <c r="G5" s="812" t="s">
        <v>884</v>
      </c>
      <c r="H5" s="814" t="s">
        <v>447</v>
      </c>
    </row>
    <row r="6" spans="1:10" s="242" customFormat="1" ht="54.75" customHeight="1" x14ac:dyDescent="0.25">
      <c r="A6" s="808"/>
      <c r="B6" s="808"/>
      <c r="C6" s="243" t="s">
        <v>5</v>
      </c>
      <c r="D6" s="243" t="s">
        <v>473</v>
      </c>
      <c r="E6" s="243" t="s">
        <v>474</v>
      </c>
      <c r="F6" s="243" t="s">
        <v>448</v>
      </c>
      <c r="G6" s="813"/>
      <c r="H6" s="815"/>
    </row>
    <row r="7" spans="1:10" s="242" customFormat="1" ht="18.75" customHeight="1" x14ac:dyDescent="0.25">
      <c r="A7" s="244" t="s">
        <v>6</v>
      </c>
      <c r="B7" s="244" t="s">
        <v>7</v>
      </c>
      <c r="C7" s="245">
        <v>1</v>
      </c>
      <c r="D7" s="245">
        <v>2</v>
      </c>
      <c r="E7" s="245">
        <v>3</v>
      </c>
      <c r="F7" s="245">
        <v>4</v>
      </c>
      <c r="G7" s="245">
        <v>5</v>
      </c>
      <c r="H7" s="244" t="s">
        <v>449</v>
      </c>
    </row>
    <row r="8" spans="1:10" s="242" customFormat="1" ht="24.75" customHeight="1" x14ac:dyDescent="0.25">
      <c r="A8" s="241"/>
      <c r="B8" s="246" t="s">
        <v>37</v>
      </c>
      <c r="C8" s="247">
        <f t="shared" ref="C8:F8" si="0">C9+C14+C30+C31+C32</f>
        <v>228566540870</v>
      </c>
      <c r="D8" s="247">
        <f t="shared" si="0"/>
        <v>38480000000</v>
      </c>
      <c r="E8" s="247">
        <f t="shared" si="0"/>
        <v>169214000000</v>
      </c>
      <c r="F8" s="247">
        <f t="shared" si="0"/>
        <v>20872540870</v>
      </c>
      <c r="G8" s="247">
        <f>G9+G14+G30+G31+G32</f>
        <v>162258176397</v>
      </c>
      <c r="H8" s="574">
        <f>G8/C8</f>
        <v>0.70989470190777537</v>
      </c>
    </row>
    <row r="9" spans="1:10" s="242" customFormat="1" ht="24" customHeight="1" x14ac:dyDescent="0.25">
      <c r="A9" s="248" t="s">
        <v>23</v>
      </c>
      <c r="B9" s="249" t="s">
        <v>39</v>
      </c>
      <c r="C9" s="250">
        <f>C10+C12+C13</f>
        <v>54467459295</v>
      </c>
      <c r="D9" s="250">
        <f>D10+D12+D13</f>
        <v>33431384363</v>
      </c>
      <c r="E9" s="250">
        <f>E10+E12+E13</f>
        <v>17905000000</v>
      </c>
      <c r="F9" s="250">
        <f>F10+F12+F13</f>
        <v>3131074932</v>
      </c>
      <c r="G9" s="250">
        <f>G10+G12+G13</f>
        <v>37286062836</v>
      </c>
      <c r="H9" s="574">
        <f>G9/C9</f>
        <v>0.68455667509761708</v>
      </c>
      <c r="J9" s="568"/>
    </row>
    <row r="10" spans="1:10" s="242" customFormat="1" ht="24" customHeight="1" x14ac:dyDescent="0.25">
      <c r="A10" s="251" t="s">
        <v>450</v>
      </c>
      <c r="B10" s="252" t="s">
        <v>137</v>
      </c>
      <c r="C10" s="253">
        <f>SUM(D10:F10)</f>
        <v>54467459295</v>
      </c>
      <c r="D10" s="254">
        <v>33431384363</v>
      </c>
      <c r="E10" s="254">
        <v>17905000000</v>
      </c>
      <c r="F10" s="254">
        <v>3131074932</v>
      </c>
      <c r="G10" s="254">
        <f>'BC VĐT '!F9</f>
        <v>37286062836</v>
      </c>
      <c r="H10" s="575">
        <f>G10/C10</f>
        <v>0.68455667509761708</v>
      </c>
    </row>
    <row r="11" spans="1:10" s="259" customFormat="1" ht="24" customHeight="1" x14ac:dyDescent="0.25">
      <c r="A11" s="255" t="s">
        <v>74</v>
      </c>
      <c r="B11" s="256" t="s">
        <v>451</v>
      </c>
      <c r="C11" s="257"/>
      <c r="D11" s="257"/>
      <c r="E11" s="257"/>
      <c r="F11" s="258"/>
      <c r="G11" s="254">
        <f>'BC VĐT '!I9+'BC VĐT '!L9</f>
        <v>7925000000</v>
      </c>
      <c r="H11" s="576"/>
    </row>
    <row r="12" spans="1:10" s="242" customFormat="1" ht="24" customHeight="1" x14ac:dyDescent="0.25">
      <c r="A12" s="251" t="s">
        <v>452</v>
      </c>
      <c r="B12" s="252" t="s">
        <v>453</v>
      </c>
      <c r="C12" s="253"/>
      <c r="D12" s="253"/>
      <c r="E12" s="253"/>
      <c r="F12" s="254"/>
      <c r="G12" s="260"/>
      <c r="H12" s="575"/>
    </row>
    <row r="13" spans="1:10" s="242" customFormat="1" ht="36.75" customHeight="1" x14ac:dyDescent="0.25">
      <c r="A13" s="251">
        <v>3</v>
      </c>
      <c r="B13" s="252" t="s">
        <v>454</v>
      </c>
      <c r="C13" s="253"/>
      <c r="D13" s="253"/>
      <c r="E13" s="254"/>
      <c r="F13" s="261"/>
      <c r="G13" s="260"/>
      <c r="H13" s="575"/>
    </row>
    <row r="14" spans="1:10" s="242" customFormat="1" ht="21.75" customHeight="1" x14ac:dyDescent="0.25">
      <c r="A14" s="248" t="s">
        <v>27</v>
      </c>
      <c r="B14" s="249" t="s">
        <v>40</v>
      </c>
      <c r="C14" s="250">
        <f t="shared" ref="C14:D14" si="1">SUM(C15:C29)</f>
        <v>166159465938</v>
      </c>
      <c r="D14" s="250">
        <f t="shared" si="1"/>
        <v>0</v>
      </c>
      <c r="E14" s="250">
        <f>SUM(E15:E29)</f>
        <v>148418000000</v>
      </c>
      <c r="F14" s="250">
        <f t="shared" ref="F14:G14" si="2">SUM(F15:F29)</f>
        <v>17741465938</v>
      </c>
      <c r="G14" s="250">
        <f t="shared" si="2"/>
        <v>124429395160</v>
      </c>
      <c r="H14" s="574">
        <f>G14/C14</f>
        <v>0.74885529065451517</v>
      </c>
    </row>
    <row r="15" spans="1:10" s="242" customFormat="1" ht="18.75" customHeight="1" x14ac:dyDescent="0.25">
      <c r="A15" s="251" t="s">
        <v>450</v>
      </c>
      <c r="B15" s="262" t="s">
        <v>138</v>
      </c>
      <c r="C15" s="253">
        <f>SUM(D15:F15)</f>
        <v>1779000000</v>
      </c>
      <c r="D15" s="254"/>
      <c r="E15" s="254">
        <v>1779000000</v>
      </c>
      <c r="F15" s="263"/>
      <c r="G15" s="254">
        <v>516261930</v>
      </c>
      <c r="H15" s="575">
        <f>G15/C15</f>
        <v>0.29019782462057336</v>
      </c>
    </row>
    <row r="16" spans="1:10" s="242" customFormat="1" ht="30" customHeight="1" x14ac:dyDescent="0.25">
      <c r="A16" s="251" t="s">
        <v>452</v>
      </c>
      <c r="B16" s="262" t="s">
        <v>139</v>
      </c>
      <c r="C16" s="253">
        <f>SUM(D16:F16)</f>
        <v>984000000</v>
      </c>
      <c r="D16" s="253"/>
      <c r="E16" s="254">
        <f>947000000+37000000</f>
        <v>984000000</v>
      </c>
      <c r="F16" s="263"/>
      <c r="G16" s="254">
        <v>678320000</v>
      </c>
      <c r="H16" s="575">
        <f>G16/C16</f>
        <v>0.68934959349593494</v>
      </c>
    </row>
    <row r="17" spans="1:8" s="242" customFormat="1" ht="31.5" customHeight="1" x14ac:dyDescent="0.25">
      <c r="A17" s="251" t="s">
        <v>455</v>
      </c>
      <c r="B17" s="262" t="s">
        <v>106</v>
      </c>
      <c r="C17" s="253">
        <f t="shared" ref="C17:C24" si="3">SUM(D17:F17)</f>
        <v>92620975000</v>
      </c>
      <c r="D17" s="254"/>
      <c r="E17" s="254">
        <f>92331000000+196375000</f>
        <v>92527375000</v>
      </c>
      <c r="F17" s="263">
        <v>93600000</v>
      </c>
      <c r="G17" s="254">
        <v>72228544112</v>
      </c>
      <c r="H17" s="575">
        <f>G17/C17</f>
        <v>0.77982923535408688</v>
      </c>
    </row>
    <row r="18" spans="1:8" s="242" customFormat="1" ht="21.75" customHeight="1" x14ac:dyDescent="0.25">
      <c r="A18" s="251" t="s">
        <v>456</v>
      </c>
      <c r="B18" s="262" t="s">
        <v>114</v>
      </c>
      <c r="C18" s="253">
        <f>SUM(D18:F18)</f>
        <v>0</v>
      </c>
      <c r="D18" s="253"/>
      <c r="E18" s="253">
        <v>0</v>
      </c>
      <c r="F18" s="263"/>
      <c r="G18" s="264"/>
      <c r="H18" s="577"/>
    </row>
    <row r="19" spans="1:8" s="242" customFormat="1" ht="21.75" customHeight="1" x14ac:dyDescent="0.25">
      <c r="A19" s="251" t="s">
        <v>457</v>
      </c>
      <c r="B19" s="262" t="s">
        <v>140</v>
      </c>
      <c r="C19" s="253">
        <f t="shared" si="3"/>
        <v>21481000</v>
      </c>
      <c r="D19" s="253"/>
      <c r="E19" s="254">
        <v>21481000</v>
      </c>
      <c r="F19" s="263"/>
      <c r="G19" s="254">
        <v>6949800</v>
      </c>
      <c r="H19" s="575">
        <f>G19/C19</f>
        <v>0.32353242400260696</v>
      </c>
    </row>
    <row r="20" spans="1:8" s="242" customFormat="1" ht="21.75" customHeight="1" x14ac:dyDescent="0.25">
      <c r="A20" s="251" t="s">
        <v>458</v>
      </c>
      <c r="B20" s="262" t="s">
        <v>141</v>
      </c>
      <c r="C20" s="253">
        <f t="shared" si="3"/>
        <v>542000000</v>
      </c>
      <c r="D20" s="253"/>
      <c r="E20" s="254">
        <f>142000000+390000000</f>
        <v>532000000</v>
      </c>
      <c r="F20" s="263">
        <v>10000000</v>
      </c>
      <c r="G20" s="254">
        <v>41405100</v>
      </c>
      <c r="H20" s="575">
        <f>G20/C20</f>
        <v>7.6393173431734324E-2</v>
      </c>
    </row>
    <row r="21" spans="1:8" s="242" customFormat="1" ht="36" customHeight="1" x14ac:dyDescent="0.25">
      <c r="A21" s="251" t="s">
        <v>459</v>
      </c>
      <c r="B21" s="262" t="s">
        <v>142</v>
      </c>
      <c r="C21" s="253">
        <f t="shared" si="3"/>
        <v>63000000</v>
      </c>
      <c r="D21" s="253"/>
      <c r="E21" s="254">
        <v>63000000</v>
      </c>
      <c r="F21" s="263"/>
      <c r="G21" s="254">
        <v>15331367</v>
      </c>
      <c r="H21" s="575">
        <f>G21/C21</f>
        <v>0.24335503174603174</v>
      </c>
    </row>
    <row r="22" spans="1:8" s="242" customFormat="1" ht="21.75" customHeight="1" x14ac:dyDescent="0.25">
      <c r="A22" s="251" t="s">
        <v>460</v>
      </c>
      <c r="B22" s="262" t="s">
        <v>461</v>
      </c>
      <c r="C22" s="253">
        <f t="shared" si="3"/>
        <v>100000000</v>
      </c>
      <c r="D22" s="253"/>
      <c r="E22" s="253">
        <v>100000000</v>
      </c>
      <c r="F22" s="263"/>
      <c r="G22" s="254">
        <v>50000000</v>
      </c>
      <c r="H22" s="575"/>
    </row>
    <row r="23" spans="1:8" s="242" customFormat="1" ht="21.75" customHeight="1" x14ac:dyDescent="0.25">
      <c r="A23" s="251" t="s">
        <v>462</v>
      </c>
      <c r="B23" s="262" t="s">
        <v>144</v>
      </c>
      <c r="C23" s="253">
        <f t="shared" si="3"/>
        <v>267000000</v>
      </c>
      <c r="D23" s="253"/>
      <c r="E23" s="254">
        <v>267000000</v>
      </c>
      <c r="F23" s="263"/>
      <c r="G23" s="254">
        <v>115000000</v>
      </c>
      <c r="H23" s="575">
        <f>G23/C23</f>
        <v>0.43071161048689138</v>
      </c>
    </row>
    <row r="24" spans="1:8" s="242" customFormat="1" ht="21.75" customHeight="1" x14ac:dyDescent="0.25">
      <c r="A24" s="251" t="s">
        <v>463</v>
      </c>
      <c r="B24" s="262" t="s">
        <v>145</v>
      </c>
      <c r="C24" s="253">
        <f t="shared" si="3"/>
        <v>15679308000</v>
      </c>
      <c r="D24" s="254"/>
      <c r="E24" s="254">
        <f>3381519000+150000000+11726625000</f>
        <v>15258144000</v>
      </c>
      <c r="F24" s="263">
        <f>407164000+14000000</f>
        <v>421164000</v>
      </c>
      <c r="G24" s="254">
        <v>9835290538</v>
      </c>
      <c r="H24" s="575">
        <f>G24/C24</f>
        <v>0.62727835552436373</v>
      </c>
    </row>
    <row r="25" spans="1:8" s="242" customFormat="1" ht="52.5" customHeight="1" x14ac:dyDescent="0.25">
      <c r="A25" s="251" t="s">
        <v>464</v>
      </c>
      <c r="B25" s="262" t="s">
        <v>465</v>
      </c>
      <c r="C25" s="253">
        <f t="shared" ref="C25:C30" si="4">SUM(D25:F25)</f>
        <v>44313801938</v>
      </c>
      <c r="D25" s="254"/>
      <c r="E25" s="254">
        <v>28369000000</v>
      </c>
      <c r="F25" s="263">
        <f>1000000000+5541476000+899569125+4681484438+562214875+1500000000+1760057500</f>
        <v>15944801938</v>
      </c>
      <c r="G25" s="254">
        <v>35261150163</v>
      </c>
      <c r="H25" s="575">
        <f>G25/C25</f>
        <v>0.79571484776536039</v>
      </c>
    </row>
    <row r="26" spans="1:8" s="242" customFormat="1" ht="22.5" customHeight="1" x14ac:dyDescent="0.25">
      <c r="A26" s="251" t="s">
        <v>466</v>
      </c>
      <c r="B26" s="262" t="s">
        <v>147</v>
      </c>
      <c r="C26" s="253">
        <f t="shared" si="4"/>
        <v>8663900000</v>
      </c>
      <c r="D26" s="253"/>
      <c r="E26" s="254">
        <f>4458000000+2934000000</f>
        <v>7392000000</v>
      </c>
      <c r="F26" s="263">
        <v>1271900000</v>
      </c>
      <c r="G26" s="254">
        <v>5681142150</v>
      </c>
      <c r="H26" s="575">
        <f>G26/C26</f>
        <v>0.65572572975219012</v>
      </c>
    </row>
    <row r="27" spans="1:8" s="242" customFormat="1" ht="22.5" customHeight="1" x14ac:dyDescent="0.25">
      <c r="A27" s="251" t="s">
        <v>467</v>
      </c>
      <c r="B27" s="262" t="s">
        <v>149</v>
      </c>
      <c r="C27" s="253">
        <f t="shared" si="4"/>
        <v>386000000</v>
      </c>
      <c r="D27" s="253"/>
      <c r="E27" s="254">
        <v>386000000</v>
      </c>
      <c r="F27" s="263"/>
      <c r="G27" s="254"/>
      <c r="H27" s="575">
        <f>G27/C27</f>
        <v>0</v>
      </c>
    </row>
    <row r="28" spans="1:8" s="242" customFormat="1" ht="63.75" customHeight="1" x14ac:dyDescent="0.25">
      <c r="A28" s="251">
        <v>14</v>
      </c>
      <c r="B28" s="252" t="s">
        <v>171</v>
      </c>
      <c r="C28" s="253">
        <f t="shared" si="4"/>
        <v>738000000</v>
      </c>
      <c r="D28" s="254"/>
      <c r="E28" s="253">
        <v>738000000</v>
      </c>
      <c r="F28" s="263"/>
      <c r="G28" s="264"/>
      <c r="H28" s="575"/>
    </row>
    <row r="29" spans="1:8" s="242" customFormat="1" ht="66" customHeight="1" x14ac:dyDescent="0.25">
      <c r="A29" s="251">
        <v>15</v>
      </c>
      <c r="B29" s="252" t="s">
        <v>172</v>
      </c>
      <c r="C29" s="253">
        <f t="shared" si="4"/>
        <v>1000000</v>
      </c>
      <c r="D29" s="261"/>
      <c r="E29" s="261">
        <v>1000000</v>
      </c>
      <c r="F29" s="263"/>
      <c r="G29" s="264"/>
      <c r="H29" s="575"/>
    </row>
    <row r="30" spans="1:8" s="242" customFormat="1" ht="26.25" customHeight="1" x14ac:dyDescent="0.25">
      <c r="A30" s="248" t="s">
        <v>31</v>
      </c>
      <c r="B30" s="249" t="s">
        <v>469</v>
      </c>
      <c r="C30" s="250">
        <f t="shared" si="4"/>
        <v>2891000000</v>
      </c>
      <c r="D30" s="250"/>
      <c r="E30" s="247">
        <v>2891000000</v>
      </c>
      <c r="F30" s="247"/>
      <c r="G30" s="269"/>
      <c r="H30" s="575"/>
    </row>
    <row r="31" spans="1:8" s="242" customFormat="1" ht="26.25" customHeight="1" x14ac:dyDescent="0.25">
      <c r="A31" s="248" t="s">
        <v>33</v>
      </c>
      <c r="B31" s="249" t="s">
        <v>394</v>
      </c>
      <c r="C31" s="250">
        <f t="shared" ref="C31:C32" si="5">SUM(D31:F31)</f>
        <v>5048615637</v>
      </c>
      <c r="D31" s="250">
        <v>5048615637</v>
      </c>
      <c r="E31" s="247"/>
      <c r="F31" s="247"/>
      <c r="G31" s="269"/>
      <c r="H31" s="575"/>
    </row>
    <row r="32" spans="1:8" s="242" customFormat="1" ht="34.5" customHeight="1" x14ac:dyDescent="0.25">
      <c r="A32" s="248" t="s">
        <v>35</v>
      </c>
      <c r="B32" s="249" t="s">
        <v>468</v>
      </c>
      <c r="C32" s="250">
        <f t="shared" si="5"/>
        <v>0</v>
      </c>
      <c r="D32" s="250"/>
      <c r="E32" s="247"/>
      <c r="F32" s="247"/>
      <c r="G32" s="269">
        <v>542718401</v>
      </c>
      <c r="H32" s="575"/>
    </row>
  </sheetData>
  <mergeCells count="9">
    <mergeCell ref="A1:H1"/>
    <mergeCell ref="A2:H2"/>
    <mergeCell ref="A3:H3"/>
    <mergeCell ref="C4:H4"/>
    <mergeCell ref="A5:A6"/>
    <mergeCell ref="B5:B6"/>
    <mergeCell ref="C5:F5"/>
    <mergeCell ref="G5:G6"/>
    <mergeCell ref="H5:H6"/>
  </mergeCells>
  <pageMargins left="0.44" right="0.25" top="0.53" bottom="0.57999999999999996" header="0.3" footer="0.24"/>
  <pageSetup paperSize="9" scale="83" firstPageNumber="2" orientation="portrait" useFirstPageNumber="1" verticalDpi="0" r:id="rId1"/>
  <headerFooter>
    <oddFooter>&amp;C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99"/>
  <sheetViews>
    <sheetView view="pageBreakPreview" zoomScaleNormal="100" zoomScaleSheetLayoutView="100" workbookViewId="0">
      <selection activeCell="E35" sqref="E35"/>
    </sheetView>
  </sheetViews>
  <sheetFormatPr defaultColWidth="9" defaultRowHeight="15.75" x14ac:dyDescent="0.25"/>
  <cols>
    <col min="1" max="1" width="4.85546875" style="774" customWidth="1"/>
    <col min="2" max="2" width="37.7109375" style="774" customWidth="1"/>
    <col min="3" max="3" width="16.140625" style="774" customWidth="1"/>
    <col min="4" max="4" width="15.42578125" style="774" customWidth="1"/>
    <col min="5" max="5" width="16.7109375" style="774" customWidth="1"/>
    <col min="6" max="6" width="16.42578125" style="774" customWidth="1"/>
    <col min="7" max="7" width="15.7109375" style="774" customWidth="1"/>
    <col min="8" max="8" width="15.42578125" style="774" customWidth="1"/>
    <col min="9" max="9" width="10.42578125" style="774" customWidth="1"/>
    <col min="10" max="16384" width="9" style="774"/>
  </cols>
  <sheetData>
    <row r="1" spans="1:10" s="771" customFormat="1" ht="22.5" customHeight="1" x14ac:dyDescent="0.25">
      <c r="A1" s="889" t="s">
        <v>232</v>
      </c>
      <c r="B1" s="889"/>
      <c r="C1" s="889"/>
      <c r="D1" s="889"/>
      <c r="E1" s="889"/>
      <c r="F1" s="889"/>
      <c r="G1" s="889"/>
    </row>
    <row r="2" spans="1:10" s="771" customFormat="1" ht="22.5" customHeight="1" x14ac:dyDescent="0.25">
      <c r="A2" s="889" t="s">
        <v>912</v>
      </c>
      <c r="B2" s="889"/>
      <c r="C2" s="889"/>
      <c r="D2" s="889"/>
      <c r="E2" s="889"/>
      <c r="F2" s="889"/>
      <c r="G2" s="889"/>
    </row>
    <row r="3" spans="1:10" s="771" customFormat="1" ht="21" customHeight="1" x14ac:dyDescent="0.25">
      <c r="A3" s="910" t="str">
        <f>'37'!A4:T4</f>
        <v>(Kèm theo Nghị quyết số: 33 /NQ-HĐND ngày  19/12/2025 của HĐND xã Cao Minh)</v>
      </c>
      <c r="B3" s="910"/>
      <c r="C3" s="910"/>
      <c r="D3" s="910"/>
      <c r="E3" s="910"/>
      <c r="F3" s="910"/>
      <c r="G3" s="910"/>
    </row>
    <row r="4" spans="1:10" s="771" customFormat="1" ht="20.25" customHeight="1" x14ac:dyDescent="0.25">
      <c r="A4" s="772"/>
      <c r="B4" s="773"/>
      <c r="C4" s="773"/>
      <c r="D4" s="773"/>
      <c r="E4" s="773"/>
      <c r="F4" s="899" t="s">
        <v>152</v>
      </c>
      <c r="G4" s="899"/>
    </row>
    <row r="5" spans="1:10" ht="25.5" customHeight="1" x14ac:dyDescent="0.25">
      <c r="A5" s="911" t="s">
        <v>0</v>
      </c>
      <c r="B5" s="882" t="s">
        <v>59</v>
      </c>
      <c r="C5" s="882" t="s">
        <v>809</v>
      </c>
      <c r="D5" s="882" t="s">
        <v>872</v>
      </c>
      <c r="E5" s="912" t="s">
        <v>873</v>
      </c>
      <c r="F5" s="913"/>
      <c r="G5" s="882" t="s">
        <v>810</v>
      </c>
    </row>
    <row r="6" spans="1:10" ht="78.75" customHeight="1" x14ac:dyDescent="0.25">
      <c r="A6" s="911"/>
      <c r="B6" s="882"/>
      <c r="C6" s="882"/>
      <c r="D6" s="882"/>
      <c r="E6" s="26" t="s">
        <v>874</v>
      </c>
      <c r="F6" s="775" t="s">
        <v>522</v>
      </c>
      <c r="G6" s="882"/>
    </row>
    <row r="7" spans="1:10" ht="21" customHeight="1" x14ac:dyDescent="0.25">
      <c r="A7" s="747" t="s">
        <v>6</v>
      </c>
      <c r="B7" s="747" t="s">
        <v>7</v>
      </c>
      <c r="C7" s="747">
        <v>1</v>
      </c>
      <c r="D7" s="747">
        <v>2</v>
      </c>
      <c r="E7" s="747">
        <v>3</v>
      </c>
      <c r="F7" s="747">
        <v>4</v>
      </c>
      <c r="G7" s="747">
        <v>5</v>
      </c>
    </row>
    <row r="8" spans="1:10" ht="24.75" customHeight="1" x14ac:dyDescent="0.25">
      <c r="A8" s="748"/>
      <c r="B8" s="748" t="s">
        <v>811</v>
      </c>
      <c r="C8" s="776">
        <f>C9+C32</f>
        <v>167953000000</v>
      </c>
      <c r="D8" s="776">
        <f>D9+D32</f>
        <v>167953000000</v>
      </c>
      <c r="E8" s="776">
        <f>E9+E32</f>
        <v>145648643000</v>
      </c>
      <c r="F8" s="776">
        <f>F9+F32</f>
        <v>1684970999.9990001</v>
      </c>
      <c r="G8" s="776">
        <f>G9+G32</f>
        <v>22304357000</v>
      </c>
      <c r="H8" s="777">
        <f>'37'!D9</f>
        <v>145648643000</v>
      </c>
      <c r="I8" s="777">
        <f>E8-H8</f>
        <v>0</v>
      </c>
    </row>
    <row r="9" spans="1:10" s="779" customFormat="1" ht="24.75" customHeight="1" x14ac:dyDescent="0.25">
      <c r="A9" s="748" t="s">
        <v>6</v>
      </c>
      <c r="B9" s="778" t="s">
        <v>812</v>
      </c>
      <c r="C9" s="776">
        <f>C10+C15+C31</f>
        <v>108369000000</v>
      </c>
      <c r="D9" s="776">
        <f>D10+D15+D31</f>
        <v>108369000000</v>
      </c>
      <c r="E9" s="776">
        <f>E10+E15+E31</f>
        <v>91600625000</v>
      </c>
      <c r="F9" s="776">
        <f>F10+F15+F31</f>
        <v>724455999.99900007</v>
      </c>
      <c r="G9" s="776">
        <f>G10+G15+G31</f>
        <v>16768375000</v>
      </c>
      <c r="H9" s="785"/>
    </row>
    <row r="10" spans="1:10" s="779" customFormat="1" ht="24.75" customHeight="1" x14ac:dyDescent="0.25">
      <c r="A10" s="748" t="s">
        <v>23</v>
      </c>
      <c r="B10" s="778" t="s">
        <v>39</v>
      </c>
      <c r="C10" s="776">
        <f>C11+C12</f>
        <v>2038000000</v>
      </c>
      <c r="D10" s="776">
        <f>D11+D12</f>
        <v>2038000000</v>
      </c>
      <c r="E10" s="776">
        <f t="shared" ref="E10:G10" si="0">E11+E12</f>
        <v>0</v>
      </c>
      <c r="F10" s="776">
        <f t="shared" si="0"/>
        <v>0</v>
      </c>
      <c r="G10" s="776">
        <f t="shared" si="0"/>
        <v>2038000000</v>
      </c>
    </row>
    <row r="11" spans="1:10" ht="25.5" customHeight="1" x14ac:dyDescent="0.25">
      <c r="A11" s="751">
        <v>1</v>
      </c>
      <c r="B11" s="780" t="s">
        <v>875</v>
      </c>
      <c r="C11" s="781">
        <v>2000000000</v>
      </c>
      <c r="D11" s="781">
        <f>C11</f>
        <v>2000000000</v>
      </c>
      <c r="E11" s="781"/>
      <c r="F11" s="781"/>
      <c r="G11" s="781">
        <f t="shared" ref="G11:G14" si="1">D11-E11</f>
        <v>2000000000</v>
      </c>
    </row>
    <row r="12" spans="1:10" ht="25.5" customHeight="1" x14ac:dyDescent="0.25">
      <c r="A12" s="751">
        <v>2</v>
      </c>
      <c r="B12" s="780" t="s">
        <v>876</v>
      </c>
      <c r="C12" s="781">
        <f>C13+C14</f>
        <v>38000000</v>
      </c>
      <c r="D12" s="781">
        <f>D13+D14</f>
        <v>38000000</v>
      </c>
      <c r="E12" s="781">
        <f t="shared" ref="E12:G12" si="2">E13+E14</f>
        <v>0</v>
      </c>
      <c r="F12" s="781">
        <f t="shared" si="2"/>
        <v>0</v>
      </c>
      <c r="G12" s="781">
        <f t="shared" si="2"/>
        <v>38000000</v>
      </c>
    </row>
    <row r="13" spans="1:10" s="784" customFormat="1" ht="41.25" customHeight="1" x14ac:dyDescent="0.25">
      <c r="A13" s="747" t="s">
        <v>287</v>
      </c>
      <c r="B13" s="782" t="s">
        <v>877</v>
      </c>
      <c r="C13" s="783">
        <v>36000000</v>
      </c>
      <c r="D13" s="783">
        <f>C13</f>
        <v>36000000</v>
      </c>
      <c r="E13" s="783"/>
      <c r="F13" s="783"/>
      <c r="G13" s="783">
        <f t="shared" si="1"/>
        <v>36000000</v>
      </c>
    </row>
    <row r="14" spans="1:10" s="784" customFormat="1" ht="41.25" customHeight="1" x14ac:dyDescent="0.25">
      <c r="A14" s="747" t="s">
        <v>287</v>
      </c>
      <c r="B14" s="782" t="s">
        <v>878</v>
      </c>
      <c r="C14" s="783">
        <v>2000000</v>
      </c>
      <c r="D14" s="783">
        <f>C14</f>
        <v>2000000</v>
      </c>
      <c r="E14" s="783"/>
      <c r="F14" s="783"/>
      <c r="G14" s="783">
        <f t="shared" si="1"/>
        <v>2000000</v>
      </c>
    </row>
    <row r="15" spans="1:10" s="779" customFormat="1" ht="26.25" customHeight="1" x14ac:dyDescent="0.25">
      <c r="A15" s="748" t="s">
        <v>27</v>
      </c>
      <c r="B15" s="778" t="s">
        <v>40</v>
      </c>
      <c r="C15" s="776">
        <f>'34'!C18</f>
        <v>103638000000</v>
      </c>
      <c r="D15" s="776">
        <f t="shared" ref="D15:E15" si="3">D16+D17+D18+D19+D20+D24+D27+D28+D29+D30</f>
        <v>103638000000</v>
      </c>
      <c r="E15" s="776">
        <f t="shared" si="3"/>
        <v>91600625000</v>
      </c>
      <c r="F15" s="776">
        <f>F16+F17+F18+F19+F20+F24+F27+F28+F29+F30</f>
        <v>724455999.99900007</v>
      </c>
      <c r="G15" s="776">
        <f>G16+G17+G18+G19+G20+G24+G27+G28+G29+G30</f>
        <v>12037375000</v>
      </c>
      <c r="H15" s="785"/>
      <c r="I15" s="785"/>
    </row>
    <row r="16" spans="1:10" s="779" customFormat="1" ht="26.25" customHeight="1" x14ac:dyDescent="0.25">
      <c r="A16" s="748" t="s">
        <v>494</v>
      </c>
      <c r="B16" s="778" t="s">
        <v>813</v>
      </c>
      <c r="C16" s="776"/>
      <c r="D16" s="776">
        <f>'34'!C26</f>
        <v>4094000000</v>
      </c>
      <c r="E16" s="776">
        <f>'37'!N9-E36-E39</f>
        <v>935000000</v>
      </c>
      <c r="F16" s="776"/>
      <c r="G16" s="776">
        <f>D16-E16</f>
        <v>3159000000</v>
      </c>
      <c r="H16" s="785"/>
      <c r="I16" s="785"/>
      <c r="J16" s="785"/>
    </row>
    <row r="17" spans="1:10" s="779" customFormat="1" ht="26.25" customHeight="1" x14ac:dyDescent="0.25">
      <c r="A17" s="748" t="s">
        <v>495</v>
      </c>
      <c r="B17" s="778" t="s">
        <v>584</v>
      </c>
      <c r="C17" s="776"/>
      <c r="D17" s="776">
        <f>'34'!C28</f>
        <v>600000000</v>
      </c>
      <c r="E17" s="776">
        <f>'37'!M9</f>
        <v>500000000</v>
      </c>
      <c r="F17" s="776"/>
      <c r="G17" s="776">
        <f>D17-E17</f>
        <v>100000000</v>
      </c>
      <c r="H17" s="785"/>
      <c r="I17" s="785"/>
      <c r="J17" s="785"/>
    </row>
    <row r="18" spans="1:10" s="779" customFormat="1" ht="26.25" customHeight="1" x14ac:dyDescent="0.25">
      <c r="A18" s="748" t="s">
        <v>816</v>
      </c>
      <c r="B18" s="778" t="s">
        <v>817</v>
      </c>
      <c r="C18" s="776"/>
      <c r="D18" s="776">
        <f>'34'!C27</f>
        <v>22778000000</v>
      </c>
      <c r="E18" s="776">
        <f>'37'!Q9-E43</f>
        <v>21954887000</v>
      </c>
      <c r="F18" s="776">
        <f>'37'!T10+'37'!T15+'37'!T16</f>
        <v>288000000</v>
      </c>
      <c r="G18" s="776">
        <f t="shared" ref="G18:G19" si="4">D18-E18</f>
        <v>823113000</v>
      </c>
      <c r="H18" s="785"/>
      <c r="I18" s="785"/>
      <c r="J18" s="785"/>
    </row>
    <row r="19" spans="1:10" s="779" customFormat="1" ht="26.25" customHeight="1" x14ac:dyDescent="0.25">
      <c r="A19" s="748" t="s">
        <v>820</v>
      </c>
      <c r="B19" s="778" t="s">
        <v>821</v>
      </c>
      <c r="C19" s="776">
        <f>'34'!C19</f>
        <v>71118000000</v>
      </c>
      <c r="D19" s="776">
        <f>'34'!C19</f>
        <v>71118000000</v>
      </c>
      <c r="E19" s="776">
        <f>'37'!E9-E47</f>
        <v>66747738000</v>
      </c>
      <c r="F19" s="776">
        <f>'37'!T20-F47</f>
        <v>436455999.99900007</v>
      </c>
      <c r="G19" s="776">
        <f t="shared" si="4"/>
        <v>4370262000</v>
      </c>
      <c r="H19" s="785"/>
      <c r="I19" s="785"/>
      <c r="J19" s="785"/>
    </row>
    <row r="20" spans="1:10" s="779" customFormat="1" ht="44.25" customHeight="1" x14ac:dyDescent="0.25">
      <c r="A20" s="748" t="s">
        <v>831</v>
      </c>
      <c r="B20" s="786" t="s">
        <v>832</v>
      </c>
      <c r="C20" s="776"/>
      <c r="D20" s="776">
        <f t="shared" ref="D20:G20" si="5">SUM(D21:D23)</f>
        <v>650000000</v>
      </c>
      <c r="E20" s="776">
        <f t="shared" si="5"/>
        <v>650000000</v>
      </c>
      <c r="F20" s="776">
        <f t="shared" si="5"/>
        <v>0</v>
      </c>
      <c r="G20" s="776">
        <f t="shared" si="5"/>
        <v>0</v>
      </c>
      <c r="H20" s="785"/>
      <c r="I20" s="785"/>
      <c r="J20" s="785"/>
    </row>
    <row r="21" spans="1:10" ht="29.25" customHeight="1" x14ac:dyDescent="0.25">
      <c r="A21" s="751">
        <v>1</v>
      </c>
      <c r="B21" s="39" t="s">
        <v>833</v>
      </c>
      <c r="C21" s="781"/>
      <c r="D21" s="781">
        <f>'34'!C22</f>
        <v>300000000</v>
      </c>
      <c r="E21" s="781">
        <f>'37'!J9</f>
        <v>300000000</v>
      </c>
      <c r="F21" s="781"/>
      <c r="G21" s="781">
        <f t="shared" ref="G21:G26" si="6">D21-E21</f>
        <v>0</v>
      </c>
      <c r="H21" s="777"/>
      <c r="J21" s="785"/>
    </row>
    <row r="22" spans="1:10" ht="29.25" customHeight="1" x14ac:dyDescent="0.25">
      <c r="A22" s="751">
        <v>2</v>
      </c>
      <c r="B22" s="780" t="s">
        <v>834</v>
      </c>
      <c r="C22" s="781"/>
      <c r="D22" s="781">
        <f>'34'!C23</f>
        <v>200000000</v>
      </c>
      <c r="E22" s="781">
        <f>'37'!L9</f>
        <v>200000000</v>
      </c>
      <c r="F22" s="781"/>
      <c r="G22" s="781">
        <f t="shared" si="6"/>
        <v>0</v>
      </c>
      <c r="H22" s="777"/>
      <c r="J22" s="785"/>
    </row>
    <row r="23" spans="1:10" ht="29.25" customHeight="1" x14ac:dyDescent="0.25">
      <c r="A23" s="751">
        <v>3</v>
      </c>
      <c r="B23" s="780" t="s">
        <v>835</v>
      </c>
      <c r="C23" s="781"/>
      <c r="D23" s="781">
        <f>'34'!C24</f>
        <v>150000000</v>
      </c>
      <c r="E23" s="781">
        <f>'37'!K9</f>
        <v>150000000</v>
      </c>
      <c r="F23" s="781"/>
      <c r="G23" s="781">
        <f t="shared" si="6"/>
        <v>0</v>
      </c>
      <c r="H23" s="777"/>
      <c r="J23" s="785"/>
    </row>
    <row r="24" spans="1:10" s="779" customFormat="1" ht="25.5" customHeight="1" x14ac:dyDescent="0.25">
      <c r="A24" s="748" t="s">
        <v>836</v>
      </c>
      <c r="B24" s="778" t="s">
        <v>164</v>
      </c>
      <c r="C24" s="776"/>
      <c r="D24" s="776">
        <f>'34'!C25</f>
        <v>324000000</v>
      </c>
      <c r="E24" s="776">
        <f>SUM(E25:E26)</f>
        <v>224000000</v>
      </c>
      <c r="F24" s="776">
        <f>SUM(F25:F26)</f>
        <v>0</v>
      </c>
      <c r="G24" s="776">
        <f>SUM(G25:G26)</f>
        <v>100000000</v>
      </c>
      <c r="H24" s="785"/>
      <c r="I24" s="785"/>
      <c r="J24" s="785"/>
    </row>
    <row r="25" spans="1:10" ht="25.5" customHeight="1" x14ac:dyDescent="0.25">
      <c r="A25" s="751">
        <v>1</v>
      </c>
      <c r="B25" s="780" t="s">
        <v>164</v>
      </c>
      <c r="C25" s="781"/>
      <c r="D25" s="781">
        <f>100000000+200000000</f>
        <v>300000000</v>
      </c>
      <c r="E25" s="781">
        <f>'37'!R9-E26-E62</f>
        <v>200000000</v>
      </c>
      <c r="F25" s="781"/>
      <c r="G25" s="781">
        <f t="shared" si="6"/>
        <v>100000000</v>
      </c>
      <c r="J25" s="785"/>
    </row>
    <row r="26" spans="1:10" ht="59.25" customHeight="1" x14ac:dyDescent="0.25">
      <c r="A26" s="751">
        <v>2</v>
      </c>
      <c r="B26" s="787" t="s">
        <v>838</v>
      </c>
      <c r="C26" s="781"/>
      <c r="D26" s="781">
        <v>24000000</v>
      </c>
      <c r="E26" s="781">
        <f>'Biểu 02'!K131</f>
        <v>24000000</v>
      </c>
      <c r="F26" s="781"/>
      <c r="G26" s="781">
        <f t="shared" si="6"/>
        <v>0</v>
      </c>
      <c r="J26" s="785"/>
    </row>
    <row r="27" spans="1:10" s="779" customFormat="1" ht="27" customHeight="1" x14ac:dyDescent="0.25">
      <c r="A27" s="748" t="s">
        <v>842</v>
      </c>
      <c r="B27" s="778" t="s">
        <v>843</v>
      </c>
      <c r="C27" s="776"/>
      <c r="D27" s="776">
        <f>'34'!C29</f>
        <v>370000000</v>
      </c>
      <c r="E27" s="776">
        <f>'37'!H9-E68</f>
        <v>370000000</v>
      </c>
      <c r="F27" s="776"/>
      <c r="G27" s="776">
        <f>D27-E27</f>
        <v>0</v>
      </c>
      <c r="H27" s="785"/>
      <c r="I27" s="785"/>
      <c r="J27" s="785"/>
    </row>
    <row r="28" spans="1:10" s="779" customFormat="1" ht="27" customHeight="1" x14ac:dyDescent="0.25">
      <c r="A28" s="748" t="s">
        <v>844</v>
      </c>
      <c r="B28" s="778" t="s">
        <v>138</v>
      </c>
      <c r="C28" s="776"/>
      <c r="D28" s="776">
        <f>'34'!C30</f>
        <v>300000000</v>
      </c>
      <c r="E28" s="776">
        <f>'37'!G9-E70</f>
        <v>0</v>
      </c>
      <c r="F28" s="776"/>
      <c r="G28" s="776">
        <f t="shared" ref="G28:G31" si="7">D28-E28</f>
        <v>300000000</v>
      </c>
      <c r="H28" s="785"/>
      <c r="I28" s="785"/>
      <c r="J28" s="785"/>
    </row>
    <row r="29" spans="1:10" s="779" customFormat="1" ht="27" customHeight="1" x14ac:dyDescent="0.25">
      <c r="A29" s="748" t="s">
        <v>845</v>
      </c>
      <c r="B29" s="778" t="s">
        <v>617</v>
      </c>
      <c r="C29" s="776">
        <f>'34'!C21</f>
        <v>696000000</v>
      </c>
      <c r="D29" s="776">
        <f>'34'!C21</f>
        <v>696000000</v>
      </c>
      <c r="E29" s="776">
        <f>'37'!F9</f>
        <v>140000000</v>
      </c>
      <c r="F29" s="776"/>
      <c r="G29" s="776">
        <f t="shared" si="7"/>
        <v>556000000</v>
      </c>
      <c r="H29" s="785"/>
      <c r="I29" s="785"/>
      <c r="J29" s="785"/>
    </row>
    <row r="30" spans="1:10" s="779" customFormat="1" ht="27" customHeight="1" x14ac:dyDescent="0.25">
      <c r="A30" s="748" t="s">
        <v>846</v>
      </c>
      <c r="B30" s="778" t="s">
        <v>149</v>
      </c>
      <c r="C30" s="776"/>
      <c r="D30" s="776">
        <f>'34'!C31</f>
        <v>2708000000</v>
      </c>
      <c r="E30" s="776">
        <f>'37'!S9</f>
        <v>79000000</v>
      </c>
      <c r="F30" s="776"/>
      <c r="G30" s="776">
        <f t="shared" si="7"/>
        <v>2629000000</v>
      </c>
      <c r="H30" s="785"/>
      <c r="I30" s="785"/>
      <c r="J30" s="785"/>
    </row>
    <row r="31" spans="1:10" s="779" customFormat="1" ht="27" customHeight="1" x14ac:dyDescent="0.25">
      <c r="A31" s="748" t="s">
        <v>31</v>
      </c>
      <c r="B31" s="778" t="s">
        <v>43</v>
      </c>
      <c r="C31" s="776">
        <f>'34'!C34</f>
        <v>2693000000</v>
      </c>
      <c r="D31" s="776">
        <f>C31</f>
        <v>2693000000</v>
      </c>
      <c r="E31" s="776"/>
      <c r="F31" s="776"/>
      <c r="G31" s="776">
        <f t="shared" si="7"/>
        <v>2693000000</v>
      </c>
    </row>
    <row r="32" spans="1:10" s="779" customFormat="1" ht="27" customHeight="1" x14ac:dyDescent="0.25">
      <c r="A32" s="748" t="s">
        <v>7</v>
      </c>
      <c r="B32" s="778" t="s">
        <v>848</v>
      </c>
      <c r="C32" s="776">
        <f>C33+C38</f>
        <v>59584000000</v>
      </c>
      <c r="D32" s="776">
        <f t="shared" ref="D32:G32" si="8">D33+D38</f>
        <v>59584000000</v>
      </c>
      <c r="E32" s="776">
        <f t="shared" si="8"/>
        <v>54048018000</v>
      </c>
      <c r="F32" s="776">
        <f t="shared" si="8"/>
        <v>960515000</v>
      </c>
      <c r="G32" s="776">
        <f t="shared" si="8"/>
        <v>5535982000</v>
      </c>
      <c r="H32" s="785"/>
    </row>
    <row r="33" spans="1:8" s="779" customFormat="1" ht="27" customHeight="1" x14ac:dyDescent="0.25">
      <c r="A33" s="748" t="s">
        <v>23</v>
      </c>
      <c r="B33" s="778" t="s">
        <v>851</v>
      </c>
      <c r="C33" s="776">
        <v>871000000</v>
      </c>
      <c r="D33" s="776">
        <v>871000000</v>
      </c>
      <c r="E33" s="776">
        <f>E34+E36</f>
        <v>271000000</v>
      </c>
      <c r="F33" s="776">
        <f t="shared" ref="F33:G33" si="9">F34+F36</f>
        <v>0</v>
      </c>
      <c r="G33" s="776">
        <f t="shared" si="9"/>
        <v>600000000</v>
      </c>
      <c r="H33" s="785"/>
    </row>
    <row r="34" spans="1:8" s="779" customFormat="1" ht="27" customHeight="1" x14ac:dyDescent="0.25">
      <c r="A34" s="748" t="s">
        <v>850</v>
      </c>
      <c r="B34" s="778" t="s">
        <v>164</v>
      </c>
      <c r="C34" s="776">
        <f>C35</f>
        <v>600000000</v>
      </c>
      <c r="D34" s="776">
        <f>D35</f>
        <v>600000000</v>
      </c>
      <c r="E34" s="776">
        <f>E35</f>
        <v>0</v>
      </c>
      <c r="F34" s="776">
        <f>SUM(F35:F37)</f>
        <v>0</v>
      </c>
      <c r="G34" s="776">
        <f t="shared" ref="F34:G36" si="10">G35</f>
        <v>600000000</v>
      </c>
    </row>
    <row r="35" spans="1:8" ht="40.5" customHeight="1" x14ac:dyDescent="0.25">
      <c r="A35" s="751">
        <v>1</v>
      </c>
      <c r="B35" s="788" t="s">
        <v>885</v>
      </c>
      <c r="C35" s="781">
        <v>600000000</v>
      </c>
      <c r="D35" s="781">
        <v>600000000</v>
      </c>
      <c r="E35" s="781"/>
      <c r="F35" s="781"/>
      <c r="G35" s="781">
        <f>D35-E35</f>
        <v>600000000</v>
      </c>
    </row>
    <row r="36" spans="1:8" s="779" customFormat="1" ht="24.75" customHeight="1" x14ac:dyDescent="0.25">
      <c r="A36" s="748" t="s">
        <v>852</v>
      </c>
      <c r="B36" s="778" t="s">
        <v>813</v>
      </c>
      <c r="C36" s="776">
        <f>C37</f>
        <v>271000000</v>
      </c>
      <c r="D36" s="776">
        <f>D37</f>
        <v>271000000</v>
      </c>
      <c r="E36" s="776">
        <f>E37</f>
        <v>271000000</v>
      </c>
      <c r="F36" s="776">
        <f t="shared" si="10"/>
        <v>0</v>
      </c>
      <c r="G36" s="776">
        <f t="shared" si="10"/>
        <v>0</v>
      </c>
    </row>
    <row r="37" spans="1:8" ht="24.75" customHeight="1" x14ac:dyDescent="0.25">
      <c r="A37" s="751">
        <v>1</v>
      </c>
      <c r="B37" s="788" t="s">
        <v>886</v>
      </c>
      <c r="C37" s="781">
        <v>271000000</v>
      </c>
      <c r="D37" s="781">
        <v>271000000</v>
      </c>
      <c r="E37" s="781">
        <f>D37</f>
        <v>271000000</v>
      </c>
      <c r="F37" s="781"/>
      <c r="G37" s="781">
        <f>D37-E37</f>
        <v>0</v>
      </c>
    </row>
    <row r="38" spans="1:8" s="779" customFormat="1" ht="24.75" customHeight="1" x14ac:dyDescent="0.25">
      <c r="A38" s="748" t="s">
        <v>27</v>
      </c>
      <c r="B38" s="789" t="s">
        <v>853</v>
      </c>
      <c r="C38" s="776">
        <f>C39+C43+C47+C62+C68+C70</f>
        <v>58713000000</v>
      </c>
      <c r="D38" s="776">
        <f>D39+D43+D47+D62+D68+D70</f>
        <v>58713000000</v>
      </c>
      <c r="E38" s="776">
        <f t="shared" ref="E38:G38" si="11">E39+E43+E47+E62+E68+E70</f>
        <v>53777018000</v>
      </c>
      <c r="F38" s="776">
        <f t="shared" si="11"/>
        <v>960515000</v>
      </c>
      <c r="G38" s="776">
        <f t="shared" si="11"/>
        <v>4935982000</v>
      </c>
      <c r="H38" s="785"/>
    </row>
    <row r="39" spans="1:8" ht="24.75" customHeight="1" x14ac:dyDescent="0.25">
      <c r="A39" s="748" t="s">
        <v>494</v>
      </c>
      <c r="B39" s="778" t="s">
        <v>813</v>
      </c>
      <c r="C39" s="776">
        <f>SUM(C40:C42)</f>
        <v>2252000000</v>
      </c>
      <c r="D39" s="776">
        <f>SUM(D40:D42)</f>
        <v>2252000000</v>
      </c>
      <c r="E39" s="776">
        <f t="shared" ref="E39:G39" si="12">SUM(E40:E42)</f>
        <v>957000000</v>
      </c>
      <c r="F39" s="776">
        <f t="shared" si="12"/>
        <v>0</v>
      </c>
      <c r="G39" s="776">
        <f t="shared" si="12"/>
        <v>1295000000</v>
      </c>
      <c r="H39" s="777"/>
    </row>
    <row r="40" spans="1:8" ht="38.25" customHeight="1" x14ac:dyDescent="0.25">
      <c r="A40" s="751">
        <v>1</v>
      </c>
      <c r="B40" s="39" t="s">
        <v>814</v>
      </c>
      <c r="C40" s="781">
        <v>404000000</v>
      </c>
      <c r="D40" s="781">
        <v>404000000</v>
      </c>
      <c r="E40" s="781">
        <f>'Biểu 02'!K73</f>
        <v>404000000</v>
      </c>
      <c r="F40" s="781"/>
      <c r="G40" s="781">
        <f t="shared" ref="G40:G60" si="13">D40-E40</f>
        <v>0</v>
      </c>
    </row>
    <row r="41" spans="1:8" ht="25.5" customHeight="1" x14ac:dyDescent="0.25">
      <c r="A41" s="751">
        <v>2</v>
      </c>
      <c r="B41" s="788" t="s">
        <v>886</v>
      </c>
      <c r="C41" s="781">
        <f>824000000-C37</f>
        <v>553000000</v>
      </c>
      <c r="D41" s="781">
        <f>824000000-D37</f>
        <v>553000000</v>
      </c>
      <c r="E41" s="781">
        <f>'Biểu 02'!K72-E37</f>
        <v>553000000</v>
      </c>
      <c r="F41" s="781"/>
      <c r="G41" s="781">
        <f t="shared" si="13"/>
        <v>0</v>
      </c>
    </row>
    <row r="42" spans="1:8" ht="40.5" customHeight="1" x14ac:dyDescent="0.25">
      <c r="A42" s="751">
        <v>3</v>
      </c>
      <c r="B42" s="788" t="s">
        <v>889</v>
      </c>
      <c r="C42" s="781">
        <v>1295000000</v>
      </c>
      <c r="D42" s="781">
        <f>C42</f>
        <v>1295000000</v>
      </c>
      <c r="E42" s="781"/>
      <c r="F42" s="781"/>
      <c r="G42" s="781">
        <f t="shared" si="13"/>
        <v>1295000000</v>
      </c>
    </row>
    <row r="43" spans="1:8" ht="24.75" customHeight="1" x14ac:dyDescent="0.25">
      <c r="A43" s="748" t="s">
        <v>495</v>
      </c>
      <c r="B43" s="778" t="s">
        <v>817</v>
      </c>
      <c r="C43" s="776">
        <f>SUM(C44:C46)</f>
        <v>6150000000</v>
      </c>
      <c r="D43" s="776">
        <f>SUM(D44:D46)</f>
        <v>6150000000</v>
      </c>
      <c r="E43" s="776">
        <f t="shared" ref="E43:G43" si="14">SUM(E44:E46)</f>
        <v>4155888000</v>
      </c>
      <c r="F43" s="776">
        <f t="shared" si="14"/>
        <v>0</v>
      </c>
      <c r="G43" s="776">
        <f t="shared" si="14"/>
        <v>1994112000</v>
      </c>
    </row>
    <row r="44" spans="1:8" ht="39.75" customHeight="1" x14ac:dyDescent="0.25">
      <c r="A44" s="751">
        <v>1</v>
      </c>
      <c r="B44" s="788" t="s">
        <v>819</v>
      </c>
      <c r="C44" s="781">
        <v>81000000</v>
      </c>
      <c r="D44" s="781">
        <v>81000000</v>
      </c>
      <c r="E44" s="781">
        <f>'Biểu 02'!K120</f>
        <v>81000000</v>
      </c>
      <c r="F44" s="781"/>
      <c r="G44" s="781">
        <f t="shared" si="13"/>
        <v>0</v>
      </c>
    </row>
    <row r="45" spans="1:8" ht="54.75" customHeight="1" x14ac:dyDescent="0.25">
      <c r="A45" s="751">
        <v>2</v>
      </c>
      <c r="B45" s="788" t="s">
        <v>882</v>
      </c>
      <c r="C45" s="781">
        <v>4264000000</v>
      </c>
      <c r="D45" s="781">
        <v>4264000000</v>
      </c>
      <c r="E45" s="781">
        <f>'Biểu 02'!K14+'Biểu 02'!K67+'Biểu 02'!K116+'Biểu 02'!K230+'Biểu 02'!K328</f>
        <v>4074888000</v>
      </c>
      <c r="F45" s="781"/>
      <c r="G45" s="781">
        <f t="shared" si="13"/>
        <v>189112000</v>
      </c>
    </row>
    <row r="46" spans="1:8" ht="39.75" customHeight="1" x14ac:dyDescent="0.25">
      <c r="A46" s="751">
        <v>3</v>
      </c>
      <c r="B46" s="788" t="s">
        <v>889</v>
      </c>
      <c r="C46" s="781">
        <v>1805000000</v>
      </c>
      <c r="D46" s="781">
        <f>C46</f>
        <v>1805000000</v>
      </c>
      <c r="E46" s="781"/>
      <c r="F46" s="781"/>
      <c r="G46" s="781">
        <f t="shared" si="13"/>
        <v>1805000000</v>
      </c>
    </row>
    <row r="47" spans="1:8" s="779" customFormat="1" ht="29.25" customHeight="1" x14ac:dyDescent="0.25">
      <c r="A47" s="748" t="s">
        <v>816</v>
      </c>
      <c r="B47" s="789" t="s">
        <v>821</v>
      </c>
      <c r="C47" s="776">
        <f>SUM(C48:C61)</f>
        <v>35143000000</v>
      </c>
      <c r="D47" s="776">
        <f>SUM(D48:D61)-D52</f>
        <v>35143000000</v>
      </c>
      <c r="E47" s="776">
        <f t="shared" ref="E47:G47" si="15">SUM(E48:E61)-E52</f>
        <v>33496130000</v>
      </c>
      <c r="F47" s="776">
        <f>SUM(F48:F61)-F53</f>
        <v>960515000</v>
      </c>
      <c r="G47" s="776">
        <f t="shared" si="15"/>
        <v>1646870000</v>
      </c>
      <c r="H47" s="785"/>
    </row>
    <row r="48" spans="1:8" ht="37.5" customHeight="1" x14ac:dyDescent="0.25">
      <c r="A48" s="751">
        <v>1</v>
      </c>
      <c r="B48" s="788" t="s">
        <v>823</v>
      </c>
      <c r="C48" s="781">
        <v>1504000000</v>
      </c>
      <c r="D48" s="781">
        <v>1504000000</v>
      </c>
      <c r="E48" s="781">
        <f>'Biểu CSHS'!E20</f>
        <v>1504000000</v>
      </c>
      <c r="F48" s="781"/>
      <c r="G48" s="781">
        <f t="shared" si="13"/>
        <v>0</v>
      </c>
    </row>
    <row r="49" spans="1:7" ht="52.5" customHeight="1" x14ac:dyDescent="0.25">
      <c r="A49" s="751">
        <v>2</v>
      </c>
      <c r="B49" s="788" t="s">
        <v>824</v>
      </c>
      <c r="C49" s="781">
        <v>2150000000</v>
      </c>
      <c r="D49" s="781">
        <v>2150000000</v>
      </c>
      <c r="E49" s="781">
        <f>'Biểu CSHS'!E28</f>
        <v>2150000000</v>
      </c>
      <c r="F49" s="781"/>
      <c r="G49" s="781">
        <f t="shared" si="13"/>
        <v>0</v>
      </c>
    </row>
    <row r="50" spans="1:7" ht="39.75" customHeight="1" x14ac:dyDescent="0.25">
      <c r="A50" s="751">
        <v>3</v>
      </c>
      <c r="B50" s="788" t="s">
        <v>825</v>
      </c>
      <c r="C50" s="781">
        <v>18990000000</v>
      </c>
      <c r="D50" s="781">
        <v>18990000000</v>
      </c>
      <c r="E50" s="781">
        <f>'Biểu CSHS'!E80</f>
        <v>18990000000</v>
      </c>
      <c r="F50" s="781"/>
      <c r="G50" s="781">
        <f t="shared" si="13"/>
        <v>0</v>
      </c>
    </row>
    <row r="51" spans="1:7" ht="56.25" customHeight="1" x14ac:dyDescent="0.25">
      <c r="A51" s="751">
        <v>4</v>
      </c>
      <c r="B51" s="788" t="s">
        <v>614</v>
      </c>
      <c r="C51" s="781">
        <v>250000000</v>
      </c>
      <c r="D51" s="781">
        <v>250000000</v>
      </c>
      <c r="E51" s="781">
        <f>'Biểu CSHS'!E98</f>
        <v>250000000</v>
      </c>
      <c r="F51" s="781"/>
      <c r="G51" s="781">
        <f t="shared" si="13"/>
        <v>0</v>
      </c>
    </row>
    <row r="52" spans="1:7" ht="41.25" customHeight="1" x14ac:dyDescent="0.25">
      <c r="A52" s="751">
        <v>5</v>
      </c>
      <c r="B52" s="788" t="s">
        <v>826</v>
      </c>
      <c r="C52" s="781">
        <v>7345000000</v>
      </c>
      <c r="D52" s="781">
        <v>7345000000</v>
      </c>
      <c r="E52" s="781">
        <f>'Biểu CSHS'!E38</f>
        <v>6396650000</v>
      </c>
      <c r="F52" s="781">
        <f>'Biểu CSHS'!D38</f>
        <v>948350000</v>
      </c>
      <c r="G52" s="781">
        <f t="shared" si="13"/>
        <v>948350000</v>
      </c>
    </row>
    <row r="53" spans="1:7" s="784" customFormat="1" ht="41.25" customHeight="1" x14ac:dyDescent="0.25">
      <c r="A53" s="747" t="s">
        <v>287</v>
      </c>
      <c r="B53" s="790" t="s">
        <v>930</v>
      </c>
      <c r="C53" s="783"/>
      <c r="D53" s="783">
        <v>948350000</v>
      </c>
      <c r="E53" s="783"/>
      <c r="F53" s="783">
        <f>D53</f>
        <v>948350000</v>
      </c>
      <c r="G53" s="783">
        <v>948350000</v>
      </c>
    </row>
    <row r="54" spans="1:7" s="784" customFormat="1" ht="41.25" customHeight="1" x14ac:dyDescent="0.25">
      <c r="A54" s="747" t="s">
        <v>287</v>
      </c>
      <c r="B54" s="790" t="s">
        <v>931</v>
      </c>
      <c r="C54" s="783"/>
      <c r="D54" s="783">
        <f>D52-D53</f>
        <v>6396650000</v>
      </c>
      <c r="E54" s="783">
        <f>D54</f>
        <v>6396650000</v>
      </c>
      <c r="F54" s="783"/>
      <c r="G54" s="783">
        <v>0</v>
      </c>
    </row>
    <row r="55" spans="1:7" ht="43.5" customHeight="1" x14ac:dyDescent="0.25">
      <c r="A55" s="751">
        <v>6</v>
      </c>
      <c r="B55" s="788" t="s">
        <v>867</v>
      </c>
      <c r="C55" s="781">
        <v>1141000000</v>
      </c>
      <c r="D55" s="781">
        <v>1141000000</v>
      </c>
      <c r="E55" s="781">
        <f>'Biểu CSHS'!E70</f>
        <v>1141000000</v>
      </c>
      <c r="F55" s="781"/>
      <c r="G55" s="781">
        <f t="shared" si="13"/>
        <v>0</v>
      </c>
    </row>
    <row r="56" spans="1:7" ht="72" customHeight="1" x14ac:dyDescent="0.25">
      <c r="A56" s="751">
        <v>7</v>
      </c>
      <c r="B56" s="788" t="s">
        <v>771</v>
      </c>
      <c r="C56" s="781">
        <v>201000000</v>
      </c>
      <c r="D56" s="781">
        <v>201000000</v>
      </c>
      <c r="E56" s="781">
        <f>'Biểu CSHS'!E94</f>
        <v>201000000</v>
      </c>
      <c r="F56" s="781"/>
      <c r="G56" s="781">
        <f t="shared" si="13"/>
        <v>0</v>
      </c>
    </row>
    <row r="57" spans="1:7" ht="54" customHeight="1" x14ac:dyDescent="0.25">
      <c r="A57" s="751">
        <v>8</v>
      </c>
      <c r="B57" s="788" t="s">
        <v>828</v>
      </c>
      <c r="C57" s="781">
        <v>1144000000</v>
      </c>
      <c r="D57" s="781">
        <v>1144000000</v>
      </c>
      <c r="E57" s="781">
        <f>'Biểu CSHS'!E24</f>
        <v>1144000000</v>
      </c>
      <c r="F57" s="781"/>
      <c r="G57" s="781">
        <f t="shared" si="13"/>
        <v>0</v>
      </c>
    </row>
    <row r="58" spans="1:7" ht="40.5" customHeight="1" x14ac:dyDescent="0.25">
      <c r="A58" s="751">
        <v>9</v>
      </c>
      <c r="B58" s="788" t="s">
        <v>829</v>
      </c>
      <c r="C58" s="781">
        <v>185000000</v>
      </c>
      <c r="D58" s="781">
        <v>185000000</v>
      </c>
      <c r="E58" s="781">
        <f>'Biểu CSHS'!E90</f>
        <v>185000000</v>
      </c>
      <c r="F58" s="781"/>
      <c r="G58" s="781">
        <f t="shared" si="13"/>
        <v>0</v>
      </c>
    </row>
    <row r="59" spans="1:7" ht="27" customHeight="1" x14ac:dyDescent="0.25">
      <c r="A59" s="751">
        <v>10</v>
      </c>
      <c r="B59" s="788" t="s">
        <v>789</v>
      </c>
      <c r="C59" s="781">
        <v>35000000</v>
      </c>
      <c r="D59" s="781">
        <v>35000000</v>
      </c>
      <c r="E59" s="781">
        <f>'Biểu 02'!K807</f>
        <v>35000000</v>
      </c>
      <c r="F59" s="781"/>
      <c r="G59" s="781">
        <f t="shared" si="13"/>
        <v>0</v>
      </c>
    </row>
    <row r="60" spans="1:7" ht="57" customHeight="1" x14ac:dyDescent="0.25">
      <c r="A60" s="751">
        <v>11</v>
      </c>
      <c r="B60" s="788" t="s">
        <v>830</v>
      </c>
      <c r="C60" s="781">
        <f>84000000+226000000</f>
        <v>310000000</v>
      </c>
      <c r="D60" s="781">
        <f>84000000+226000000</f>
        <v>310000000</v>
      </c>
      <c r="E60" s="781">
        <f>'Biểu 02'!K808+'Biểu 02'!K180</f>
        <v>310000000</v>
      </c>
      <c r="F60" s="781"/>
      <c r="G60" s="781">
        <f t="shared" si="13"/>
        <v>0</v>
      </c>
    </row>
    <row r="61" spans="1:7" ht="42" customHeight="1" x14ac:dyDescent="0.25">
      <c r="A61" s="751">
        <v>12</v>
      </c>
      <c r="B61" s="788" t="s">
        <v>888</v>
      </c>
      <c r="C61" s="781">
        <v>1888000000</v>
      </c>
      <c r="D61" s="781">
        <f>C61</f>
        <v>1888000000</v>
      </c>
      <c r="E61" s="781">
        <f>'Biểu 02'!K444+'Biểu 02'!K530+'Biểu 02'!K580+'Biểu 02'!K630+'Biểu 02'!K685+'Biểu 02'!K728</f>
        <v>1189480000</v>
      </c>
      <c r="F61" s="781">
        <f>'Biểu 02'!H444+'Biểu 02'!H530+'Biểu 02'!H580+'Biểu 02'!H630+'Biểu 02'!H685+'Biểu 02'!H728</f>
        <v>12164999.999999966</v>
      </c>
      <c r="G61" s="781">
        <f>D61-E61</f>
        <v>698520000</v>
      </c>
    </row>
    <row r="62" spans="1:7" ht="26.25" customHeight="1" x14ac:dyDescent="0.25">
      <c r="A62" s="748" t="s">
        <v>820</v>
      </c>
      <c r="B62" s="778" t="s">
        <v>164</v>
      </c>
      <c r="C62" s="776">
        <f>SUM(C63:C67)</f>
        <v>12210000000</v>
      </c>
      <c r="D62" s="776">
        <f>SUM(D63:D67)</f>
        <v>12210000000</v>
      </c>
      <c r="E62" s="776">
        <f>SUM(E63:E67)</f>
        <v>12210000000</v>
      </c>
      <c r="F62" s="776">
        <f>SUM(F63:F72)</f>
        <v>0</v>
      </c>
      <c r="G62" s="776">
        <f>SUM(G63:G72)</f>
        <v>0</v>
      </c>
    </row>
    <row r="63" spans="1:7" ht="54" customHeight="1" x14ac:dyDescent="0.25">
      <c r="A63" s="751">
        <v>1</v>
      </c>
      <c r="B63" s="788" t="s">
        <v>604</v>
      </c>
      <c r="C63" s="781">
        <v>8871000000</v>
      </c>
      <c r="D63" s="781">
        <v>8871000000</v>
      </c>
      <c r="E63" s="781">
        <f>'Biểu 02'!K127</f>
        <v>8871000000</v>
      </c>
      <c r="F63" s="781"/>
      <c r="G63" s="781">
        <f t="shared" ref="G63:G67" si="16">D63-E63</f>
        <v>0</v>
      </c>
    </row>
    <row r="64" spans="1:7" ht="37.5" customHeight="1" x14ac:dyDescent="0.25">
      <c r="A64" s="751">
        <v>2</v>
      </c>
      <c r="B64" s="788" t="s">
        <v>586</v>
      </c>
      <c r="C64" s="781">
        <v>821000000</v>
      </c>
      <c r="D64" s="781">
        <v>821000000</v>
      </c>
      <c r="E64" s="781">
        <f>'Biểu 02'!K80</f>
        <v>821000000</v>
      </c>
      <c r="F64" s="781"/>
      <c r="G64" s="781">
        <f t="shared" si="16"/>
        <v>0</v>
      </c>
    </row>
    <row r="65" spans="1:7" ht="73.5" customHeight="1" x14ac:dyDescent="0.25">
      <c r="A65" s="751">
        <v>3</v>
      </c>
      <c r="B65" s="788" t="s">
        <v>837</v>
      </c>
      <c r="C65" s="781">
        <v>168000000</v>
      </c>
      <c r="D65" s="781">
        <v>168000000</v>
      </c>
      <c r="E65" s="781">
        <f>'Biểu 02'!K18</f>
        <v>168000000</v>
      </c>
      <c r="F65" s="781"/>
      <c r="G65" s="781">
        <f t="shared" si="16"/>
        <v>0</v>
      </c>
    </row>
    <row r="66" spans="1:7" ht="52.5" customHeight="1" x14ac:dyDescent="0.25">
      <c r="A66" s="751">
        <v>4</v>
      </c>
      <c r="B66" s="788" t="s">
        <v>839</v>
      </c>
      <c r="C66" s="781">
        <v>2280000000</v>
      </c>
      <c r="D66" s="781">
        <v>2280000000</v>
      </c>
      <c r="E66" s="781">
        <f>'Biểu 02'!K128</f>
        <v>2280000000</v>
      </c>
      <c r="F66" s="781"/>
      <c r="G66" s="781">
        <f t="shared" si="16"/>
        <v>0</v>
      </c>
    </row>
    <row r="67" spans="1:7" ht="29.25" customHeight="1" x14ac:dyDescent="0.25">
      <c r="A67" s="751">
        <v>5</v>
      </c>
      <c r="B67" s="788" t="s">
        <v>841</v>
      </c>
      <c r="C67" s="781">
        <v>70000000</v>
      </c>
      <c r="D67" s="781">
        <v>70000000</v>
      </c>
      <c r="E67" s="781">
        <f>'Biểu 02'!K133</f>
        <v>70000000</v>
      </c>
      <c r="F67" s="781"/>
      <c r="G67" s="781">
        <f t="shared" si="16"/>
        <v>0</v>
      </c>
    </row>
    <row r="68" spans="1:7" ht="26.25" customHeight="1" x14ac:dyDescent="0.25">
      <c r="A68" s="748" t="s">
        <v>842</v>
      </c>
      <c r="B68" s="778" t="s">
        <v>843</v>
      </c>
      <c r="C68" s="776">
        <f>C69</f>
        <v>531000000</v>
      </c>
      <c r="D68" s="776">
        <f>D69</f>
        <v>531000000</v>
      </c>
      <c r="E68" s="776">
        <f t="shared" ref="E68:G68" si="17">E69</f>
        <v>531000000</v>
      </c>
      <c r="F68" s="776">
        <f t="shared" si="17"/>
        <v>0</v>
      </c>
      <c r="G68" s="776">
        <f t="shared" si="17"/>
        <v>0</v>
      </c>
    </row>
    <row r="69" spans="1:7" ht="26.25" customHeight="1" x14ac:dyDescent="0.25">
      <c r="A69" s="751">
        <v>1</v>
      </c>
      <c r="B69" s="780" t="s">
        <v>890</v>
      </c>
      <c r="C69" s="781">
        <v>531000000</v>
      </c>
      <c r="D69" s="781">
        <v>531000000</v>
      </c>
      <c r="E69" s="781">
        <f>'Biểu 02'!K27</f>
        <v>531000000</v>
      </c>
      <c r="F69" s="781"/>
      <c r="G69" s="781"/>
    </row>
    <row r="70" spans="1:7" ht="26.25" customHeight="1" x14ac:dyDescent="0.25">
      <c r="A70" s="748" t="s">
        <v>844</v>
      </c>
      <c r="B70" s="778" t="s">
        <v>138</v>
      </c>
      <c r="C70" s="776">
        <f>C71+C72</f>
        <v>2427000000</v>
      </c>
      <c r="D70" s="776">
        <f>D71+D72</f>
        <v>2427000000</v>
      </c>
      <c r="E70" s="776">
        <f t="shared" ref="E70:G70" si="18">E71+E72</f>
        <v>2427000000</v>
      </c>
      <c r="F70" s="776">
        <f t="shared" si="18"/>
        <v>0</v>
      </c>
      <c r="G70" s="776">
        <f t="shared" si="18"/>
        <v>0</v>
      </c>
    </row>
    <row r="71" spans="1:7" ht="45" customHeight="1" x14ac:dyDescent="0.25">
      <c r="A71" s="751">
        <v>1</v>
      </c>
      <c r="B71" s="788" t="s">
        <v>891</v>
      </c>
      <c r="C71" s="781">
        <v>600000000</v>
      </c>
      <c r="D71" s="781">
        <v>600000000</v>
      </c>
      <c r="E71" s="781">
        <f>D71</f>
        <v>600000000</v>
      </c>
      <c r="F71" s="781"/>
      <c r="G71" s="781">
        <f t="shared" ref="G71:G72" si="19">D71-E71</f>
        <v>0</v>
      </c>
    </row>
    <row r="72" spans="1:7" ht="30.75" customHeight="1" x14ac:dyDescent="0.25">
      <c r="A72" s="751">
        <v>2</v>
      </c>
      <c r="B72" s="788" t="s">
        <v>892</v>
      </c>
      <c r="C72" s="781">
        <v>1827000000</v>
      </c>
      <c r="D72" s="781">
        <v>1827000000</v>
      </c>
      <c r="E72" s="781">
        <f>D72</f>
        <v>1827000000</v>
      </c>
      <c r="F72" s="781"/>
      <c r="G72" s="781">
        <f t="shared" si="19"/>
        <v>0</v>
      </c>
    </row>
    <row r="73" spans="1:7" s="779" customFormat="1" hidden="1" x14ac:dyDescent="0.25">
      <c r="A73" s="748" t="s">
        <v>31</v>
      </c>
      <c r="B73" s="778" t="s">
        <v>854</v>
      </c>
      <c r="C73" s="776">
        <f>C74+C75</f>
        <v>0</v>
      </c>
      <c r="D73" s="776">
        <f t="shared" ref="D73:G73" si="20">D74+D75</f>
        <v>0</v>
      </c>
      <c r="E73" s="776">
        <f t="shared" si="20"/>
        <v>0</v>
      </c>
      <c r="F73" s="776">
        <f t="shared" si="20"/>
        <v>0</v>
      </c>
      <c r="G73" s="776">
        <f t="shared" si="20"/>
        <v>0</v>
      </c>
    </row>
    <row r="74" spans="1:7" s="779" customFormat="1" ht="25.5" hidden="1" customHeight="1" x14ac:dyDescent="0.25">
      <c r="A74" s="751" t="s">
        <v>287</v>
      </c>
      <c r="B74" s="791" t="s">
        <v>476</v>
      </c>
      <c r="C74" s="781">
        <f>C77+C89</f>
        <v>0</v>
      </c>
      <c r="D74" s="781">
        <f t="shared" ref="D74:F75" si="21">D77+D89</f>
        <v>0</v>
      </c>
      <c r="E74" s="781">
        <f t="shared" si="21"/>
        <v>0</v>
      </c>
      <c r="F74" s="781">
        <f t="shared" si="21"/>
        <v>0</v>
      </c>
      <c r="G74" s="781">
        <f t="shared" ref="G74:G75" si="22">D74-E74</f>
        <v>0</v>
      </c>
    </row>
    <row r="75" spans="1:7" s="779" customFormat="1" ht="25.5" hidden="1" customHeight="1" x14ac:dyDescent="0.25">
      <c r="A75" s="751" t="s">
        <v>287</v>
      </c>
      <c r="B75" s="791" t="s">
        <v>477</v>
      </c>
      <c r="C75" s="781">
        <f>C78+C90</f>
        <v>0</v>
      </c>
      <c r="D75" s="781">
        <f t="shared" si="21"/>
        <v>0</v>
      </c>
      <c r="E75" s="781">
        <f t="shared" si="21"/>
        <v>0</v>
      </c>
      <c r="F75" s="781">
        <f t="shared" si="21"/>
        <v>0</v>
      </c>
      <c r="G75" s="781">
        <f t="shared" si="22"/>
        <v>0</v>
      </c>
    </row>
    <row r="76" spans="1:7" s="779" customFormat="1" ht="25.5" hidden="1" customHeight="1" x14ac:dyDescent="0.25">
      <c r="A76" s="748" t="s">
        <v>887</v>
      </c>
      <c r="B76" s="778" t="s">
        <v>851</v>
      </c>
      <c r="C76" s="776">
        <f>C77+C78</f>
        <v>0</v>
      </c>
      <c r="D76" s="776">
        <f t="shared" ref="D76:G76" si="23">D77+D78</f>
        <v>0</v>
      </c>
      <c r="E76" s="776">
        <f t="shared" si="23"/>
        <v>0</v>
      </c>
      <c r="F76" s="776">
        <f t="shared" si="23"/>
        <v>0</v>
      </c>
      <c r="G76" s="776">
        <f t="shared" si="23"/>
        <v>0</v>
      </c>
    </row>
    <row r="77" spans="1:7" ht="25.5" hidden="1" customHeight="1" x14ac:dyDescent="0.25">
      <c r="A77" s="751" t="s">
        <v>74</v>
      </c>
      <c r="B77" s="791" t="s">
        <v>476</v>
      </c>
      <c r="C77" s="792">
        <f>C80+C83+C86</f>
        <v>0</v>
      </c>
      <c r="D77" s="781">
        <f t="shared" ref="D77:F78" si="24">D80+D83+D86</f>
        <v>0</v>
      </c>
      <c r="E77" s="781">
        <f t="shared" si="24"/>
        <v>0</v>
      </c>
      <c r="F77" s="781">
        <f t="shared" si="24"/>
        <v>0</v>
      </c>
      <c r="G77" s="781">
        <f t="shared" ref="G77:G78" si="25">D77-E77</f>
        <v>0</v>
      </c>
    </row>
    <row r="78" spans="1:7" ht="25.5" hidden="1" customHeight="1" x14ac:dyDescent="0.25">
      <c r="A78" s="751" t="s">
        <v>74</v>
      </c>
      <c r="B78" s="791" t="s">
        <v>477</v>
      </c>
      <c r="C78" s="792">
        <f>C81+C84+C87</f>
        <v>0</v>
      </c>
      <c r="D78" s="781">
        <f t="shared" si="24"/>
        <v>0</v>
      </c>
      <c r="E78" s="781">
        <f t="shared" si="24"/>
        <v>0</v>
      </c>
      <c r="F78" s="781">
        <f t="shared" si="24"/>
        <v>0</v>
      </c>
      <c r="G78" s="781">
        <f t="shared" si="25"/>
        <v>0</v>
      </c>
    </row>
    <row r="79" spans="1:7" s="779" customFormat="1" ht="36.75" hidden="1" customHeight="1" x14ac:dyDescent="0.25">
      <c r="A79" s="748">
        <v>1</v>
      </c>
      <c r="B79" s="793" t="s">
        <v>238</v>
      </c>
      <c r="C79" s="794">
        <f>C80+C81</f>
        <v>0</v>
      </c>
      <c r="D79" s="795">
        <f t="shared" ref="D79:G79" si="26">D80+D81</f>
        <v>0</v>
      </c>
      <c r="E79" s="795">
        <f t="shared" si="26"/>
        <v>0</v>
      </c>
      <c r="F79" s="795">
        <f t="shared" si="26"/>
        <v>0</v>
      </c>
      <c r="G79" s="795">
        <f t="shared" si="26"/>
        <v>0</v>
      </c>
    </row>
    <row r="80" spans="1:7" ht="24" hidden="1" customHeight="1" x14ac:dyDescent="0.25">
      <c r="A80" s="751" t="s">
        <v>74</v>
      </c>
      <c r="B80" s="791" t="s">
        <v>476</v>
      </c>
      <c r="C80" s="796"/>
      <c r="D80" s="781"/>
      <c r="E80" s="781"/>
      <c r="F80" s="781"/>
      <c r="G80" s="781">
        <f t="shared" ref="G80:G81" si="27">D80-E80</f>
        <v>0</v>
      </c>
    </row>
    <row r="81" spans="1:7" ht="24" hidden="1" customHeight="1" x14ac:dyDescent="0.25">
      <c r="A81" s="751" t="s">
        <v>74</v>
      </c>
      <c r="B81" s="791" t="s">
        <v>477</v>
      </c>
      <c r="C81" s="796"/>
      <c r="D81" s="781"/>
      <c r="E81" s="781"/>
      <c r="F81" s="781"/>
      <c r="G81" s="781">
        <f t="shared" si="27"/>
        <v>0</v>
      </c>
    </row>
    <row r="82" spans="1:7" s="779" customFormat="1" ht="39" hidden="1" customHeight="1" x14ac:dyDescent="0.25">
      <c r="A82" s="748">
        <v>2</v>
      </c>
      <c r="B82" s="793" t="s">
        <v>239</v>
      </c>
      <c r="C82" s="794">
        <f>C83+C84</f>
        <v>0</v>
      </c>
      <c r="D82" s="795">
        <f t="shared" ref="D82:G82" si="28">D83+D84</f>
        <v>0</v>
      </c>
      <c r="E82" s="795">
        <f t="shared" si="28"/>
        <v>0</v>
      </c>
      <c r="F82" s="795">
        <f t="shared" si="28"/>
        <v>0</v>
      </c>
      <c r="G82" s="795">
        <f t="shared" si="28"/>
        <v>0</v>
      </c>
    </row>
    <row r="83" spans="1:7" ht="24.75" hidden="1" customHeight="1" x14ac:dyDescent="0.25">
      <c r="A83" s="751" t="s">
        <v>74</v>
      </c>
      <c r="B83" s="791" t="s">
        <v>476</v>
      </c>
      <c r="C83" s="796"/>
      <c r="D83" s="781"/>
      <c r="E83" s="781"/>
      <c r="F83" s="781"/>
      <c r="G83" s="781">
        <f t="shared" ref="G83:G84" si="29">D83-E83</f>
        <v>0</v>
      </c>
    </row>
    <row r="84" spans="1:7" ht="24.75" hidden="1" customHeight="1" x14ac:dyDescent="0.25">
      <c r="A84" s="751" t="s">
        <v>74</v>
      </c>
      <c r="B84" s="791" t="s">
        <v>477</v>
      </c>
      <c r="C84" s="796"/>
      <c r="D84" s="781"/>
      <c r="E84" s="781"/>
      <c r="F84" s="781"/>
      <c r="G84" s="781">
        <f t="shared" si="29"/>
        <v>0</v>
      </c>
    </row>
    <row r="85" spans="1:7" s="779" customFormat="1" ht="40.5" hidden="1" customHeight="1" x14ac:dyDescent="0.25">
      <c r="A85" s="748">
        <v>3</v>
      </c>
      <c r="B85" s="793" t="s">
        <v>478</v>
      </c>
      <c r="C85" s="794">
        <f>C86+C87</f>
        <v>0</v>
      </c>
      <c r="D85" s="795">
        <f t="shared" ref="D85:G85" si="30">D86+D87</f>
        <v>0</v>
      </c>
      <c r="E85" s="795">
        <f t="shared" si="30"/>
        <v>0</v>
      </c>
      <c r="F85" s="795">
        <f t="shared" si="30"/>
        <v>0</v>
      </c>
      <c r="G85" s="795">
        <f t="shared" si="30"/>
        <v>0</v>
      </c>
    </row>
    <row r="86" spans="1:7" ht="25.5" hidden="1" customHeight="1" x14ac:dyDescent="0.25">
      <c r="A86" s="751" t="s">
        <v>74</v>
      </c>
      <c r="B86" s="791" t="s">
        <v>476</v>
      </c>
      <c r="C86" s="781"/>
      <c r="D86" s="781"/>
      <c r="E86" s="781"/>
      <c r="F86" s="781"/>
      <c r="G86" s="781">
        <f t="shared" ref="G86:G87" si="31">D86-E86</f>
        <v>0</v>
      </c>
    </row>
    <row r="87" spans="1:7" ht="25.5" hidden="1" customHeight="1" x14ac:dyDescent="0.25">
      <c r="A87" s="751" t="s">
        <v>74</v>
      </c>
      <c r="B87" s="791" t="s">
        <v>477</v>
      </c>
      <c r="C87" s="781"/>
      <c r="D87" s="781"/>
      <c r="E87" s="781"/>
      <c r="F87" s="781"/>
      <c r="G87" s="781">
        <f t="shared" si="31"/>
        <v>0</v>
      </c>
    </row>
    <row r="88" spans="1:7" s="779" customFormat="1" ht="25.5" hidden="1" customHeight="1" x14ac:dyDescent="0.25">
      <c r="A88" s="748" t="s">
        <v>887</v>
      </c>
      <c r="B88" s="778" t="s">
        <v>855</v>
      </c>
      <c r="C88" s="776">
        <f>C89+C90</f>
        <v>0</v>
      </c>
      <c r="D88" s="776">
        <f t="shared" ref="D88:G88" si="32">D89+D90</f>
        <v>0</v>
      </c>
      <c r="E88" s="776">
        <f t="shared" si="32"/>
        <v>0</v>
      </c>
      <c r="F88" s="776">
        <f t="shared" si="32"/>
        <v>0</v>
      </c>
      <c r="G88" s="776">
        <f t="shared" si="32"/>
        <v>0</v>
      </c>
    </row>
    <row r="89" spans="1:7" ht="25.5" hidden="1" customHeight="1" x14ac:dyDescent="0.25">
      <c r="A89" s="751" t="s">
        <v>74</v>
      </c>
      <c r="B89" s="791" t="s">
        <v>476</v>
      </c>
      <c r="C89" s="792">
        <f t="shared" ref="C89:F90" si="33">C92+C95+C98</f>
        <v>0</v>
      </c>
      <c r="D89" s="792">
        <f t="shared" si="33"/>
        <v>0</v>
      </c>
      <c r="E89" s="792">
        <f t="shared" si="33"/>
        <v>0</v>
      </c>
      <c r="F89" s="792">
        <f t="shared" si="33"/>
        <v>0</v>
      </c>
      <c r="G89" s="781">
        <f t="shared" ref="G89:G90" si="34">D89-E89</f>
        <v>0</v>
      </c>
    </row>
    <row r="90" spans="1:7" ht="25.5" hidden="1" customHeight="1" x14ac:dyDescent="0.25">
      <c r="A90" s="751" t="s">
        <v>74</v>
      </c>
      <c r="B90" s="791" t="s">
        <v>477</v>
      </c>
      <c r="C90" s="792">
        <f t="shared" si="33"/>
        <v>0</v>
      </c>
      <c r="D90" s="792">
        <f t="shared" si="33"/>
        <v>0</v>
      </c>
      <c r="E90" s="792">
        <f t="shared" si="33"/>
        <v>0</v>
      </c>
      <c r="F90" s="792">
        <f t="shared" si="33"/>
        <v>0</v>
      </c>
      <c r="G90" s="781">
        <f t="shared" si="34"/>
        <v>0</v>
      </c>
    </row>
    <row r="91" spans="1:7" s="779" customFormat="1" ht="39.75" hidden="1" customHeight="1" x14ac:dyDescent="0.25">
      <c r="A91" s="748">
        <v>1</v>
      </c>
      <c r="B91" s="793" t="s">
        <v>238</v>
      </c>
      <c r="C91" s="797">
        <f>C92+C93</f>
        <v>0</v>
      </c>
      <c r="D91" s="795">
        <f t="shared" ref="D91:G91" si="35">D92+D93</f>
        <v>0</v>
      </c>
      <c r="E91" s="795">
        <f t="shared" si="35"/>
        <v>0</v>
      </c>
      <c r="F91" s="795">
        <f t="shared" si="35"/>
        <v>0</v>
      </c>
      <c r="G91" s="795">
        <f t="shared" si="35"/>
        <v>0</v>
      </c>
    </row>
    <row r="92" spans="1:7" ht="26.25" hidden="1" customHeight="1" x14ac:dyDescent="0.25">
      <c r="A92" s="751" t="s">
        <v>74</v>
      </c>
      <c r="B92" s="791" t="s">
        <v>476</v>
      </c>
      <c r="C92" s="798"/>
      <c r="D92" s="781"/>
      <c r="E92" s="781"/>
      <c r="F92" s="781"/>
      <c r="G92" s="781">
        <f t="shared" ref="G92:G93" si="36">D92-E92</f>
        <v>0</v>
      </c>
    </row>
    <row r="93" spans="1:7" ht="26.25" hidden="1" customHeight="1" x14ac:dyDescent="0.25">
      <c r="A93" s="751" t="s">
        <v>74</v>
      </c>
      <c r="B93" s="791" t="s">
        <v>477</v>
      </c>
      <c r="C93" s="798"/>
      <c r="D93" s="781"/>
      <c r="E93" s="781"/>
      <c r="F93" s="781"/>
      <c r="G93" s="781">
        <f t="shared" si="36"/>
        <v>0</v>
      </c>
    </row>
    <row r="94" spans="1:7" s="779" customFormat="1" ht="38.25" hidden="1" customHeight="1" x14ac:dyDescent="0.25">
      <c r="A94" s="748">
        <v>2</v>
      </c>
      <c r="B94" s="793" t="s">
        <v>239</v>
      </c>
      <c r="C94" s="797">
        <f>C95+C96</f>
        <v>0</v>
      </c>
      <c r="D94" s="795">
        <f>D95+D96</f>
        <v>0</v>
      </c>
      <c r="E94" s="795">
        <f t="shared" ref="E94:G94" si="37">E95+E96</f>
        <v>0</v>
      </c>
      <c r="F94" s="795">
        <f t="shared" si="37"/>
        <v>0</v>
      </c>
      <c r="G94" s="795">
        <f t="shared" si="37"/>
        <v>0</v>
      </c>
    </row>
    <row r="95" spans="1:7" ht="25.5" hidden="1" customHeight="1" x14ac:dyDescent="0.25">
      <c r="A95" s="751" t="s">
        <v>74</v>
      </c>
      <c r="B95" s="791" t="s">
        <v>476</v>
      </c>
      <c r="C95" s="781"/>
      <c r="D95" s="781"/>
      <c r="E95" s="781"/>
      <c r="F95" s="781"/>
      <c r="G95" s="781">
        <f t="shared" ref="G95:G96" si="38">D95-E95</f>
        <v>0</v>
      </c>
    </row>
    <row r="96" spans="1:7" ht="25.5" hidden="1" customHeight="1" x14ac:dyDescent="0.25">
      <c r="A96" s="751" t="s">
        <v>74</v>
      </c>
      <c r="B96" s="791" t="s">
        <v>477</v>
      </c>
      <c r="C96" s="781"/>
      <c r="D96" s="781"/>
      <c r="E96" s="781"/>
      <c r="F96" s="781"/>
      <c r="G96" s="781">
        <f t="shared" si="38"/>
        <v>0</v>
      </c>
    </row>
    <row r="97" spans="1:7" s="779" customFormat="1" ht="39.75" hidden="1" customHeight="1" x14ac:dyDescent="0.25">
      <c r="A97" s="748">
        <v>3</v>
      </c>
      <c r="B97" s="793" t="s">
        <v>478</v>
      </c>
      <c r="C97" s="797">
        <f>C98+C99</f>
        <v>0</v>
      </c>
      <c r="D97" s="795">
        <f t="shared" ref="D97:G97" si="39">D98+D99</f>
        <v>0</v>
      </c>
      <c r="E97" s="795">
        <f t="shared" si="39"/>
        <v>0</v>
      </c>
      <c r="F97" s="795">
        <f t="shared" si="39"/>
        <v>0</v>
      </c>
      <c r="G97" s="795">
        <f t="shared" si="39"/>
        <v>0</v>
      </c>
    </row>
    <row r="98" spans="1:7" ht="25.5" hidden="1" customHeight="1" x14ac:dyDescent="0.25">
      <c r="A98" s="751" t="s">
        <v>74</v>
      </c>
      <c r="B98" s="791" t="s">
        <v>476</v>
      </c>
      <c r="C98" s="796"/>
      <c r="D98" s="796"/>
      <c r="E98" s="781"/>
      <c r="F98" s="781"/>
      <c r="G98" s="781">
        <f t="shared" ref="G98:G99" si="40">D98-E98</f>
        <v>0</v>
      </c>
    </row>
    <row r="99" spans="1:7" ht="25.5" hidden="1" customHeight="1" x14ac:dyDescent="0.25">
      <c r="A99" s="751" t="s">
        <v>74</v>
      </c>
      <c r="B99" s="791" t="s">
        <v>477</v>
      </c>
      <c r="C99" s="796"/>
      <c r="D99" s="781"/>
      <c r="E99" s="781"/>
      <c r="F99" s="781"/>
      <c r="G99" s="781">
        <f t="shared" si="40"/>
        <v>0</v>
      </c>
    </row>
  </sheetData>
  <mergeCells count="10">
    <mergeCell ref="G5:G6"/>
    <mergeCell ref="A1:G1"/>
    <mergeCell ref="A2:G2"/>
    <mergeCell ref="A3:G3"/>
    <mergeCell ref="F4:G4"/>
    <mergeCell ref="A5:A6"/>
    <mergeCell ref="B5:B6"/>
    <mergeCell ref="C5:C6"/>
    <mergeCell ref="D5:D6"/>
    <mergeCell ref="E5:F5"/>
  </mergeCells>
  <pageMargins left="0.63" right="0.33" top="0.43" bottom="0.44" header="0.3" footer="0.2"/>
  <pageSetup paperSize="9" firstPageNumber="12" orientation="landscape" useFirstPageNumber="1" verticalDpi="0" r:id="rId1"/>
  <headerFooter>
    <oddFooter>&amp;C &amp;P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P831"/>
  <sheetViews>
    <sheetView view="pageBreakPreview" zoomScale="85" zoomScaleNormal="115" zoomScaleSheetLayoutView="85" workbookViewId="0">
      <selection activeCell="K20" sqref="K20"/>
    </sheetView>
  </sheetViews>
  <sheetFormatPr defaultColWidth="9" defaultRowHeight="15" x14ac:dyDescent="0.25"/>
  <cols>
    <col min="1" max="1" width="4.7109375" style="242" customWidth="1"/>
    <col min="2" max="2" width="40.140625" style="532" customWidth="1"/>
    <col min="3" max="3" width="7.140625" style="533" customWidth="1"/>
    <col min="4" max="4" width="5" style="533" customWidth="1"/>
    <col min="5" max="5" width="9.85546875" style="534" customWidth="1"/>
    <col min="6" max="6" width="10.42578125" style="535" customWidth="1"/>
    <col min="7" max="7" width="15" style="534" customWidth="1"/>
    <col min="8" max="8" width="13" style="534" customWidth="1"/>
    <col min="9" max="9" width="12" style="534" customWidth="1"/>
    <col min="10" max="10" width="12.42578125" style="534" customWidth="1"/>
    <col min="11" max="11" width="14.85546875" style="534" customWidth="1"/>
    <col min="12" max="12" width="5.140625" style="242" customWidth="1"/>
    <col min="13" max="13" width="16.85546875" style="242" customWidth="1"/>
    <col min="14" max="14" width="16.5703125" style="242" customWidth="1"/>
    <col min="15" max="15" width="16.42578125" style="242" customWidth="1"/>
    <col min="16" max="16" width="14.42578125" style="242" customWidth="1"/>
    <col min="17" max="16384" width="9" style="242"/>
  </cols>
  <sheetData>
    <row r="1" spans="1:15" s="292" customFormat="1" ht="18.75" customHeight="1" x14ac:dyDescent="0.25">
      <c r="A1" s="927" t="s">
        <v>236</v>
      </c>
      <c r="B1" s="927"/>
      <c r="C1" s="927"/>
      <c r="D1" s="927"/>
      <c r="E1" s="927"/>
      <c r="F1" s="927"/>
      <c r="G1" s="927"/>
      <c r="H1" s="927"/>
      <c r="I1" s="927"/>
      <c r="J1" s="927"/>
      <c r="K1" s="927"/>
      <c r="L1" s="927"/>
    </row>
    <row r="2" spans="1:15" ht="22.5" customHeight="1" x14ac:dyDescent="0.25">
      <c r="A2" s="824" t="s">
        <v>807</v>
      </c>
      <c r="B2" s="824"/>
      <c r="C2" s="824"/>
      <c r="D2" s="824"/>
      <c r="E2" s="824"/>
      <c r="F2" s="824"/>
      <c r="G2" s="824"/>
      <c r="H2" s="824"/>
      <c r="I2" s="824"/>
      <c r="J2" s="824"/>
      <c r="K2" s="824"/>
      <c r="L2" s="824"/>
    </row>
    <row r="3" spans="1:15" ht="22.5" customHeight="1" x14ac:dyDescent="0.25">
      <c r="A3" s="924" t="str">
        <f>'17'!A4:G4</f>
        <v>(Kèm theo Nghị quyết số: 33 /NQ-HĐND ngày  19/12/2025 của HĐND xã Cao Minh)</v>
      </c>
      <c r="B3" s="924"/>
      <c r="C3" s="924"/>
      <c r="D3" s="924"/>
      <c r="E3" s="924"/>
      <c r="F3" s="924"/>
      <c r="G3" s="924"/>
      <c r="H3" s="924"/>
      <c r="I3" s="924"/>
      <c r="J3" s="924"/>
      <c r="K3" s="924"/>
      <c r="L3" s="924"/>
    </row>
    <row r="4" spans="1:15" ht="21.75" customHeight="1" x14ac:dyDescent="0.25">
      <c r="A4" s="638"/>
      <c r="B4" s="639"/>
      <c r="C4" s="638"/>
      <c r="D4" s="638"/>
      <c r="E4" s="640"/>
      <c r="F4" s="641"/>
      <c r="G4" s="638"/>
      <c r="H4" s="929" t="s">
        <v>152</v>
      </c>
      <c r="I4" s="929"/>
      <c r="J4" s="929"/>
      <c r="K4" s="929"/>
      <c r="L4" s="642"/>
    </row>
    <row r="5" spans="1:15" ht="22.5" customHeight="1" x14ac:dyDescent="0.25">
      <c r="A5" s="808" t="s">
        <v>0</v>
      </c>
      <c r="B5" s="930" t="s">
        <v>177</v>
      </c>
      <c r="C5" s="928" t="s">
        <v>518</v>
      </c>
      <c r="D5" s="928" t="s">
        <v>519</v>
      </c>
      <c r="E5" s="928" t="s">
        <v>520</v>
      </c>
      <c r="F5" s="916" t="s">
        <v>521</v>
      </c>
      <c r="G5" s="928" t="s">
        <v>234</v>
      </c>
      <c r="H5" s="814" t="s">
        <v>522</v>
      </c>
      <c r="I5" s="916" t="s">
        <v>523</v>
      </c>
      <c r="J5" s="916" t="s">
        <v>921</v>
      </c>
      <c r="K5" s="928" t="s">
        <v>913</v>
      </c>
      <c r="L5" s="808" t="s">
        <v>264</v>
      </c>
    </row>
    <row r="6" spans="1:15" ht="30.75" customHeight="1" x14ac:dyDescent="0.25">
      <c r="A6" s="808"/>
      <c r="B6" s="930"/>
      <c r="C6" s="928"/>
      <c r="D6" s="928"/>
      <c r="E6" s="928"/>
      <c r="F6" s="917"/>
      <c r="G6" s="928"/>
      <c r="H6" s="815"/>
      <c r="I6" s="917"/>
      <c r="J6" s="917"/>
      <c r="K6" s="928"/>
      <c r="L6" s="808"/>
    </row>
    <row r="7" spans="1:15" ht="47.25" customHeight="1" x14ac:dyDescent="0.25">
      <c r="A7" s="808"/>
      <c r="B7" s="930"/>
      <c r="C7" s="928"/>
      <c r="D7" s="928"/>
      <c r="E7" s="928"/>
      <c r="F7" s="918"/>
      <c r="G7" s="916"/>
      <c r="H7" s="815"/>
      <c r="I7" s="917"/>
      <c r="J7" s="918"/>
      <c r="K7" s="916"/>
      <c r="L7" s="808"/>
    </row>
    <row r="8" spans="1:15" s="259" customFormat="1" ht="20.25" customHeight="1" x14ac:dyDescent="0.25">
      <c r="A8" s="244" t="s">
        <v>6</v>
      </c>
      <c r="B8" s="295" t="s">
        <v>7</v>
      </c>
      <c r="C8" s="296" t="s">
        <v>49</v>
      </c>
      <c r="D8" s="296">
        <v>1</v>
      </c>
      <c r="E8" s="296">
        <v>2</v>
      </c>
      <c r="F8" s="296">
        <v>3</v>
      </c>
      <c r="G8" s="296" t="s">
        <v>524</v>
      </c>
      <c r="H8" s="296">
        <v>5</v>
      </c>
      <c r="I8" s="296">
        <v>6</v>
      </c>
      <c r="J8" s="296">
        <v>7</v>
      </c>
      <c r="K8" s="296" t="s">
        <v>920</v>
      </c>
      <c r="L8" s="244">
        <v>9</v>
      </c>
    </row>
    <row r="9" spans="1:15" ht="26.25" customHeight="1" x14ac:dyDescent="0.25">
      <c r="A9" s="241"/>
      <c r="B9" s="297" t="s">
        <v>234</v>
      </c>
      <c r="C9" s="294"/>
      <c r="D9" s="298"/>
      <c r="E9" s="299"/>
      <c r="F9" s="369"/>
      <c r="G9" s="369">
        <f>G10+G222+G324+G398+G809</f>
        <v>149343048636.77319</v>
      </c>
      <c r="H9" s="369">
        <f>H10+H222+H324+H398+H809</f>
        <v>1684970999.9990001</v>
      </c>
      <c r="I9" s="369">
        <f>I10+I222+I324+I398+I809</f>
        <v>586910000</v>
      </c>
      <c r="J9" s="369">
        <f>J10+J222+J324+J398+J809</f>
        <v>1422524000</v>
      </c>
      <c r="K9" s="369">
        <f>K10+K222+K324+K398+K809</f>
        <v>145648643000</v>
      </c>
      <c r="L9" s="254"/>
    </row>
    <row r="10" spans="1:15" s="510" customFormat="1" ht="27" customHeight="1" x14ac:dyDescent="0.25">
      <c r="A10" s="502" t="s">
        <v>6</v>
      </c>
      <c r="B10" s="503" t="s">
        <v>525</v>
      </c>
      <c r="C10" s="682" t="s">
        <v>526</v>
      </c>
      <c r="D10" s="683">
        <f>D11+D64+D113+D186</f>
        <v>67</v>
      </c>
      <c r="E10" s="684"/>
      <c r="F10" s="654"/>
      <c r="G10" s="654">
        <f>G11+G64+G113+G186</f>
        <v>35461841932</v>
      </c>
      <c r="H10" s="654">
        <f t="shared" ref="H10:K10" si="0">H11+H64+H113+H186</f>
        <v>172000000</v>
      </c>
      <c r="I10" s="654">
        <f t="shared" si="0"/>
        <v>206620000</v>
      </c>
      <c r="J10" s="654">
        <f t="shared" ref="J10" si="1">J11+J64+J113+J186</f>
        <v>0</v>
      </c>
      <c r="K10" s="654">
        <f t="shared" si="0"/>
        <v>35083223000</v>
      </c>
      <c r="L10" s="681"/>
    </row>
    <row r="11" spans="1:15" s="306" customFormat="1" ht="26.25" customHeight="1" x14ac:dyDescent="0.25">
      <c r="A11" s="300" t="s">
        <v>23</v>
      </c>
      <c r="B11" s="301" t="s">
        <v>195</v>
      </c>
      <c r="C11" s="302" t="s">
        <v>526</v>
      </c>
      <c r="D11" s="302">
        <v>24</v>
      </c>
      <c r="E11" s="303"/>
      <c r="F11" s="304"/>
      <c r="G11" s="304">
        <f>SUM(G12:G27)-G23-G19</f>
        <v>10569567116</v>
      </c>
      <c r="H11" s="304">
        <f t="shared" ref="H11:K11" si="2">SUM(H12:H27)-H23-H19</f>
        <v>72000000</v>
      </c>
      <c r="I11" s="304">
        <f t="shared" si="2"/>
        <v>87250000</v>
      </c>
      <c r="J11" s="304">
        <f t="shared" ref="J11" si="3">SUM(J12:J27)-J23-J19</f>
        <v>0</v>
      </c>
      <c r="K11" s="304">
        <f t="shared" si="2"/>
        <v>10410318000</v>
      </c>
      <c r="L11" s="305"/>
      <c r="N11" s="570">
        <f>N12+N13</f>
        <v>10410318000</v>
      </c>
    </row>
    <row r="12" spans="1:15" ht="27.75" customHeight="1" x14ac:dyDescent="0.25">
      <c r="A12" s="307">
        <v>1</v>
      </c>
      <c r="B12" s="308" t="s">
        <v>527</v>
      </c>
      <c r="C12" s="309" t="s">
        <v>526</v>
      </c>
      <c r="D12" s="309">
        <f>D30</f>
        <v>18</v>
      </c>
      <c r="E12" s="310">
        <f>E30</f>
        <v>124.44995</v>
      </c>
      <c r="F12" s="312"/>
      <c r="G12" s="312">
        <f>G30</f>
        <v>3494554596</v>
      </c>
      <c r="H12" s="312"/>
      <c r="I12" s="312"/>
      <c r="J12" s="312"/>
      <c r="K12" s="312">
        <f>G12-H12+404</f>
        <v>3494555000</v>
      </c>
      <c r="L12" s="313"/>
      <c r="M12" s="242" t="s">
        <v>893</v>
      </c>
      <c r="N12" s="293">
        <f>K12+K13+K15+K16+K17+K19+K23</f>
        <v>5666549000</v>
      </c>
      <c r="O12" s="293">
        <f>N12+N65+N114+N187+N224+N264+N299+N326+N401+N440+N483+N525+N575+N625+N682+N725+N768+N810</f>
        <v>91500625000</v>
      </c>
    </row>
    <row r="13" spans="1:15" ht="30" x14ac:dyDescent="0.25">
      <c r="A13" s="307">
        <v>2</v>
      </c>
      <c r="B13" s="314" t="s">
        <v>528</v>
      </c>
      <c r="C13" s="309" t="s">
        <v>526</v>
      </c>
      <c r="D13" s="309">
        <f>D12</f>
        <v>18</v>
      </c>
      <c r="E13" s="310"/>
      <c r="F13" s="312">
        <v>40000000</v>
      </c>
      <c r="G13" s="312">
        <f>F13*D13</f>
        <v>720000000</v>
      </c>
      <c r="H13" s="312">
        <f>G13*0.1</f>
        <v>72000000</v>
      </c>
      <c r="I13" s="312">
        <f>I43</f>
        <v>87250000</v>
      </c>
      <c r="J13" s="312"/>
      <c r="K13" s="312">
        <f>G13-H13-I13</f>
        <v>560750000</v>
      </c>
      <c r="L13" s="313"/>
      <c r="M13" s="242" t="s">
        <v>894</v>
      </c>
      <c r="N13" s="293">
        <f>K14+K18+K26+K27</f>
        <v>4743769000</v>
      </c>
    </row>
    <row r="14" spans="1:15" ht="30" x14ac:dyDescent="0.25">
      <c r="A14" s="307">
        <v>3</v>
      </c>
      <c r="B14" s="315" t="s">
        <v>529</v>
      </c>
      <c r="C14" s="309" t="s">
        <v>526</v>
      </c>
      <c r="D14" s="309">
        <f>D58+D60+D61</f>
        <v>67</v>
      </c>
      <c r="E14" s="316"/>
      <c r="F14" s="312"/>
      <c r="G14" s="317">
        <f>G58+G59</f>
        <v>1617769000</v>
      </c>
      <c r="H14" s="317"/>
      <c r="I14" s="317"/>
      <c r="J14" s="317"/>
      <c r="K14" s="317">
        <f t="shared" ref="K14" si="4">K58+K59</f>
        <v>1617769000</v>
      </c>
      <c r="L14" s="313"/>
    </row>
    <row r="15" spans="1:15" ht="36.75" customHeight="1" x14ac:dyDescent="0.25">
      <c r="A15" s="307">
        <v>4</v>
      </c>
      <c r="B15" s="314" t="s">
        <v>530</v>
      </c>
      <c r="C15" s="309" t="s">
        <v>526</v>
      </c>
      <c r="D15" s="309">
        <v>2</v>
      </c>
      <c r="E15" s="310"/>
      <c r="F15" s="312">
        <v>10000000</v>
      </c>
      <c r="G15" s="312">
        <f>F15*D15*12</f>
        <v>240000000</v>
      </c>
      <c r="H15" s="312"/>
      <c r="I15" s="312"/>
      <c r="J15" s="312"/>
      <c r="K15" s="312">
        <f>G15</f>
        <v>240000000</v>
      </c>
      <c r="L15" s="313"/>
      <c r="N15" s="293">
        <f>K12+K13+K15+K17+K19+K23+K65+K66+K68+K114+K115+K117+K121+K122+K186+K224+K225+K226+K228+K229+K231+K232+K233+K263+K298+K326+K327+K329+K330+K333+K339+K345+K346</f>
        <v>21923887000</v>
      </c>
    </row>
    <row r="16" spans="1:15" ht="23.25" customHeight="1" x14ac:dyDescent="0.25">
      <c r="A16" s="307">
        <v>5</v>
      </c>
      <c r="B16" s="314" t="str">
        <f>B62</f>
        <v>Đại hội Hội chữ thập đỏ</v>
      </c>
      <c r="C16" s="309"/>
      <c r="D16" s="309"/>
      <c r="E16" s="310"/>
      <c r="F16" s="312"/>
      <c r="G16" s="312">
        <f>G62</f>
        <v>10000000</v>
      </c>
      <c r="H16" s="312"/>
      <c r="I16" s="312"/>
      <c r="J16" s="312"/>
      <c r="K16" s="312">
        <f>G16</f>
        <v>10000000</v>
      </c>
      <c r="L16" s="313"/>
      <c r="N16" s="293">
        <f>'Biểu 01'!E18</f>
        <v>21954887000</v>
      </c>
    </row>
    <row r="17" spans="1:14" ht="23.25" customHeight="1" x14ac:dyDescent="0.25">
      <c r="A17" s="307">
        <v>6</v>
      </c>
      <c r="B17" s="318" t="s">
        <v>531</v>
      </c>
      <c r="C17" s="319" t="s">
        <v>526</v>
      </c>
      <c r="D17" s="320">
        <f>D13</f>
        <v>18</v>
      </c>
      <c r="E17" s="321">
        <f>E31</f>
        <v>60.690000000000005</v>
      </c>
      <c r="F17" s="444">
        <v>234000</v>
      </c>
      <c r="G17" s="263">
        <f>E17*F17*12</f>
        <v>170417520.00000003</v>
      </c>
      <c r="H17" s="323"/>
      <c r="I17" s="323"/>
      <c r="J17" s="323"/>
      <c r="K17" s="312">
        <f>G17-H17+480</f>
        <v>170418000.00000003</v>
      </c>
      <c r="L17" s="313"/>
      <c r="N17" s="293">
        <f>N15-N16</f>
        <v>-31000000</v>
      </c>
    </row>
    <row r="18" spans="1:14" ht="23.25" customHeight="1" x14ac:dyDescent="0.25">
      <c r="A18" s="307">
        <v>7</v>
      </c>
      <c r="B18" s="318" t="s">
        <v>532</v>
      </c>
      <c r="C18" s="324" t="str">
        <f>C45</f>
        <v>Người</v>
      </c>
      <c r="D18" s="324">
        <f t="shared" ref="D18:K18" si="5">D45</f>
        <v>4</v>
      </c>
      <c r="E18" s="322">
        <f t="shared" si="5"/>
        <v>0</v>
      </c>
      <c r="F18" s="444">
        <f t="shared" si="5"/>
        <v>3500000</v>
      </c>
      <c r="G18" s="444">
        <f t="shared" si="5"/>
        <v>168000000</v>
      </c>
      <c r="H18" s="444">
        <f t="shared" si="5"/>
        <v>0</v>
      </c>
      <c r="I18" s="444">
        <f t="shared" si="5"/>
        <v>0</v>
      </c>
      <c r="J18" s="444"/>
      <c r="K18" s="444">
        <f t="shared" si="5"/>
        <v>168000000</v>
      </c>
      <c r="L18" s="313"/>
    </row>
    <row r="19" spans="1:14" ht="23.25" customHeight="1" x14ac:dyDescent="0.25">
      <c r="A19" s="307">
        <v>8</v>
      </c>
      <c r="B19" s="325" t="s">
        <v>533</v>
      </c>
      <c r="C19" s="324"/>
      <c r="D19" s="324"/>
      <c r="E19" s="322"/>
      <c r="F19" s="444"/>
      <c r="G19" s="444">
        <f>G20+G22+G21</f>
        <v>454826000</v>
      </c>
      <c r="H19" s="444">
        <f t="shared" ref="H19:K19" si="6">H20+H22+H21</f>
        <v>0</v>
      </c>
      <c r="I19" s="444">
        <f t="shared" si="6"/>
        <v>0</v>
      </c>
      <c r="J19" s="444"/>
      <c r="K19" s="444">
        <f t="shared" si="6"/>
        <v>454826000</v>
      </c>
      <c r="L19" s="313"/>
    </row>
    <row r="20" spans="1:14" s="259" customFormat="1" ht="23.25" customHeight="1" x14ac:dyDescent="0.25">
      <c r="A20" s="244" t="s">
        <v>287</v>
      </c>
      <c r="B20" s="326" t="s">
        <v>917</v>
      </c>
      <c r="C20" s="477" t="s">
        <v>526</v>
      </c>
      <c r="D20" s="696">
        <v>61</v>
      </c>
      <c r="E20" s="697">
        <v>0.3</v>
      </c>
      <c r="F20" s="330">
        <v>2340000</v>
      </c>
      <c r="G20" s="330">
        <f>61*E20*F20*3</f>
        <v>128466000</v>
      </c>
      <c r="H20" s="330"/>
      <c r="I20" s="330"/>
      <c r="J20" s="330"/>
      <c r="K20" s="434">
        <f>G20</f>
        <v>128466000</v>
      </c>
      <c r="L20" s="331"/>
    </row>
    <row r="21" spans="1:14" s="259" customFormat="1" ht="23.25" customHeight="1" x14ac:dyDescent="0.25">
      <c r="A21" s="244" t="s">
        <v>287</v>
      </c>
      <c r="B21" s="326" t="s">
        <v>918</v>
      </c>
      <c r="C21" s="477" t="s">
        <v>526</v>
      </c>
      <c r="D21" s="696">
        <v>20</v>
      </c>
      <c r="E21" s="697">
        <v>0.3</v>
      </c>
      <c r="F21" s="330">
        <v>2340000</v>
      </c>
      <c r="G21" s="330">
        <f>20*E21*F21*9</f>
        <v>126360000</v>
      </c>
      <c r="H21" s="330"/>
      <c r="I21" s="330"/>
      <c r="J21" s="330"/>
      <c r="K21" s="434">
        <f>G21</f>
        <v>126360000</v>
      </c>
      <c r="L21" s="331"/>
    </row>
    <row r="22" spans="1:14" s="259" customFormat="1" ht="23.25" customHeight="1" x14ac:dyDescent="0.25">
      <c r="A22" s="244" t="s">
        <v>287</v>
      </c>
      <c r="B22" s="326" t="s">
        <v>534</v>
      </c>
      <c r="C22" s="296" t="s">
        <v>535</v>
      </c>
      <c r="D22" s="327"/>
      <c r="E22" s="328"/>
      <c r="F22" s="516"/>
      <c r="G22" s="516">
        <f>G49</f>
        <v>200000000</v>
      </c>
      <c r="H22" s="329"/>
      <c r="I22" s="329"/>
      <c r="J22" s="329"/>
      <c r="K22" s="330">
        <f>G22</f>
        <v>200000000</v>
      </c>
      <c r="L22" s="331"/>
    </row>
    <row r="23" spans="1:14" ht="23.25" customHeight="1" x14ac:dyDescent="0.25">
      <c r="A23" s="307">
        <v>9</v>
      </c>
      <c r="B23" s="325" t="s">
        <v>536</v>
      </c>
      <c r="C23" s="324"/>
      <c r="D23" s="324"/>
      <c r="E23" s="322"/>
      <c r="F23" s="444"/>
      <c r="G23" s="444">
        <f>G24+G25</f>
        <v>736000000</v>
      </c>
      <c r="H23" s="444">
        <f t="shared" ref="H23:K23" si="7">H24+H25</f>
        <v>0</v>
      </c>
      <c r="I23" s="444">
        <f t="shared" si="7"/>
        <v>0</v>
      </c>
      <c r="J23" s="444"/>
      <c r="K23" s="444">
        <f t="shared" si="7"/>
        <v>736000000</v>
      </c>
      <c r="L23" s="313"/>
    </row>
    <row r="24" spans="1:14" s="259" customFormat="1" ht="53.25" customHeight="1" x14ac:dyDescent="0.25">
      <c r="A24" s="244" t="s">
        <v>287</v>
      </c>
      <c r="B24" s="332" t="s">
        <v>537</v>
      </c>
      <c r="C24" s="309" t="s">
        <v>535</v>
      </c>
      <c r="D24" s="327"/>
      <c r="E24" s="328"/>
      <c r="F24" s="516"/>
      <c r="G24" s="516">
        <f>G51</f>
        <v>550000000</v>
      </c>
      <c r="H24" s="329"/>
      <c r="I24" s="329"/>
      <c r="J24" s="329"/>
      <c r="K24" s="330">
        <f>G24</f>
        <v>550000000</v>
      </c>
      <c r="L24" s="331"/>
    </row>
    <row r="25" spans="1:14" s="259" customFormat="1" ht="28.5" customHeight="1" x14ac:dyDescent="0.25">
      <c r="A25" s="244" t="s">
        <v>287</v>
      </c>
      <c r="B25" s="332" t="s">
        <v>538</v>
      </c>
      <c r="C25" s="327" t="str">
        <f t="shared" ref="C25:F25" si="8">C52</f>
        <v>Tháng</v>
      </c>
      <c r="D25" s="327">
        <f t="shared" si="8"/>
        <v>12</v>
      </c>
      <c r="E25" s="328">
        <f t="shared" si="8"/>
        <v>0</v>
      </c>
      <c r="F25" s="516">
        <f t="shared" si="8"/>
        <v>15500000</v>
      </c>
      <c r="G25" s="516">
        <f>G52</f>
        <v>186000000</v>
      </c>
      <c r="H25" s="329"/>
      <c r="I25" s="329"/>
      <c r="J25" s="329"/>
      <c r="K25" s="330">
        <f>G25</f>
        <v>186000000</v>
      </c>
      <c r="L25" s="331"/>
    </row>
    <row r="26" spans="1:14" ht="23.25" customHeight="1" x14ac:dyDescent="0.25">
      <c r="A26" s="307">
        <v>10</v>
      </c>
      <c r="B26" s="318" t="str">
        <f>B53</f>
        <v>Chi Quốc phòng</v>
      </c>
      <c r="C26" s="309" t="s">
        <v>535</v>
      </c>
      <c r="D26" s="309"/>
      <c r="E26" s="318"/>
      <c r="F26" s="312"/>
      <c r="G26" s="317">
        <f>G53</f>
        <v>2427000000</v>
      </c>
      <c r="H26" s="323"/>
      <c r="I26" s="323"/>
      <c r="J26" s="323"/>
      <c r="K26" s="312">
        <f>G26</f>
        <v>2427000000</v>
      </c>
      <c r="L26" s="313"/>
    </row>
    <row r="27" spans="1:14" ht="23.25" customHeight="1" x14ac:dyDescent="0.25">
      <c r="A27" s="307">
        <v>11</v>
      </c>
      <c r="B27" s="318" t="str">
        <f>B56</f>
        <v>Chi An ninh</v>
      </c>
      <c r="C27" s="309" t="s">
        <v>535</v>
      </c>
      <c r="D27" s="309"/>
      <c r="E27" s="318"/>
      <c r="F27" s="312"/>
      <c r="G27" s="317">
        <f>G56</f>
        <v>531000000</v>
      </c>
      <c r="H27" s="323"/>
      <c r="I27" s="323"/>
      <c r="J27" s="323"/>
      <c r="K27" s="312">
        <f>G27</f>
        <v>531000000</v>
      </c>
      <c r="L27" s="313"/>
    </row>
    <row r="28" spans="1:14" s="339" customFormat="1" ht="24.75" customHeight="1" x14ac:dyDescent="0.25">
      <c r="A28" s="333"/>
      <c r="B28" s="334" t="s">
        <v>539</v>
      </c>
      <c r="C28" s="335"/>
      <c r="D28" s="335">
        <v>24</v>
      </c>
      <c r="E28" s="336"/>
      <c r="F28" s="337"/>
      <c r="G28" s="337">
        <f>G29+G42+G45+G46+G50+G53+G56+G58+G59+G63+G62</f>
        <v>10569567116</v>
      </c>
      <c r="H28" s="337">
        <f t="shared" ref="H28:K28" si="9">H29+H42+H45+H46+H50+H53+H56+H58+H59+H63+H62</f>
        <v>72000000</v>
      </c>
      <c r="I28" s="337">
        <f t="shared" si="9"/>
        <v>87250000</v>
      </c>
      <c r="J28" s="337"/>
      <c r="K28" s="337">
        <f t="shared" si="9"/>
        <v>10410317116</v>
      </c>
      <c r="L28" s="338"/>
    </row>
    <row r="29" spans="1:14" s="292" customFormat="1" ht="18" customHeight="1" x14ac:dyDescent="0.25">
      <c r="A29" s="241">
        <v>1</v>
      </c>
      <c r="B29" s="340" t="s">
        <v>540</v>
      </c>
      <c r="C29" s="294"/>
      <c r="D29" s="294">
        <v>18</v>
      </c>
      <c r="E29" s="341"/>
      <c r="F29" s="342"/>
      <c r="G29" s="342">
        <f>G30+G40</f>
        <v>3734554596</v>
      </c>
      <c r="H29" s="342">
        <f t="shared" ref="H29:K29" si="10">H30+H40</f>
        <v>0</v>
      </c>
      <c r="I29" s="342">
        <f t="shared" si="10"/>
        <v>0</v>
      </c>
      <c r="J29" s="342"/>
      <c r="K29" s="342">
        <f t="shared" si="10"/>
        <v>3734554596</v>
      </c>
      <c r="L29" s="246"/>
    </row>
    <row r="30" spans="1:14" s="351" customFormat="1" ht="22.5" customHeight="1" x14ac:dyDescent="0.25">
      <c r="A30" s="343" t="s">
        <v>541</v>
      </c>
      <c r="B30" s="344" t="s">
        <v>542</v>
      </c>
      <c r="C30" s="345"/>
      <c r="D30" s="345">
        <v>18</v>
      </c>
      <c r="E30" s="346">
        <f>SUM(E31:E39)</f>
        <v>124.44995</v>
      </c>
      <c r="F30" s="347"/>
      <c r="G30" s="347">
        <f>SUM(G31:G39)</f>
        <v>3494554596</v>
      </c>
      <c r="H30" s="348"/>
      <c r="I30" s="348"/>
      <c r="J30" s="348"/>
      <c r="K30" s="347">
        <f>SUM(K31:K39)</f>
        <v>3494554596</v>
      </c>
      <c r="L30" s="349"/>
      <c r="M30" s="350">
        <f>G30+G65+G114+G187+G224+G264++G299+G326</f>
        <v>14070062672.639999</v>
      </c>
    </row>
    <row r="31" spans="1:14" s="359" customFormat="1" ht="21" customHeight="1" x14ac:dyDescent="0.25">
      <c r="A31" s="352" t="s">
        <v>287</v>
      </c>
      <c r="B31" s="353" t="s">
        <v>543</v>
      </c>
      <c r="C31" s="354" t="s">
        <v>526</v>
      </c>
      <c r="D31" s="354">
        <v>18</v>
      </c>
      <c r="E31" s="355">
        <v>60.690000000000005</v>
      </c>
      <c r="F31" s="356">
        <v>2340000</v>
      </c>
      <c r="G31" s="356">
        <f>E31*F31*12</f>
        <v>1704175200</v>
      </c>
      <c r="H31" s="356"/>
      <c r="I31" s="356"/>
      <c r="J31" s="356"/>
      <c r="K31" s="357">
        <f t="shared" ref="K31:K39" si="11">G31</f>
        <v>1704175200</v>
      </c>
      <c r="L31" s="358"/>
    </row>
    <row r="32" spans="1:14" s="359" customFormat="1" ht="21" customHeight="1" x14ac:dyDescent="0.25">
      <c r="A32" s="352" t="s">
        <v>287</v>
      </c>
      <c r="B32" s="353" t="s">
        <v>544</v>
      </c>
      <c r="C32" s="354" t="s">
        <v>526</v>
      </c>
      <c r="D32" s="354">
        <v>7</v>
      </c>
      <c r="E32" s="355">
        <v>2.2000000000000002</v>
      </c>
      <c r="F32" s="356">
        <v>2340000</v>
      </c>
      <c r="G32" s="356">
        <f t="shared" ref="G32:G39" si="12">E32*F32*12</f>
        <v>61776000</v>
      </c>
      <c r="H32" s="356"/>
      <c r="I32" s="356"/>
      <c r="J32" s="356"/>
      <c r="K32" s="357">
        <f t="shared" si="11"/>
        <v>61776000</v>
      </c>
      <c r="L32" s="358"/>
    </row>
    <row r="33" spans="1:14" s="359" customFormat="1" ht="21" customHeight="1" x14ac:dyDescent="0.25">
      <c r="A33" s="352" t="s">
        <v>287</v>
      </c>
      <c r="B33" s="353" t="s">
        <v>545</v>
      </c>
      <c r="C33" s="354" t="s">
        <v>526</v>
      </c>
      <c r="D33" s="354">
        <v>0</v>
      </c>
      <c r="E33" s="355">
        <v>0</v>
      </c>
      <c r="F33" s="356">
        <v>2340000</v>
      </c>
      <c r="G33" s="356">
        <f t="shared" si="12"/>
        <v>0</v>
      </c>
      <c r="H33" s="356"/>
      <c r="I33" s="356"/>
      <c r="J33" s="356"/>
      <c r="K33" s="357">
        <f t="shared" si="11"/>
        <v>0</v>
      </c>
      <c r="L33" s="358"/>
    </row>
    <row r="34" spans="1:14" s="359" customFormat="1" ht="21" customHeight="1" x14ac:dyDescent="0.25">
      <c r="A34" s="352" t="s">
        <v>287</v>
      </c>
      <c r="B34" s="353" t="s">
        <v>546</v>
      </c>
      <c r="C34" s="354" t="s">
        <v>526</v>
      </c>
      <c r="D34" s="354">
        <v>18</v>
      </c>
      <c r="E34" s="355">
        <f>D34*0.7</f>
        <v>12.6</v>
      </c>
      <c r="F34" s="356">
        <v>2340000</v>
      </c>
      <c r="G34" s="356">
        <f t="shared" si="12"/>
        <v>353808000</v>
      </c>
      <c r="H34" s="356"/>
      <c r="I34" s="356"/>
      <c r="J34" s="356"/>
      <c r="K34" s="357">
        <f t="shared" si="11"/>
        <v>353808000</v>
      </c>
      <c r="L34" s="358"/>
    </row>
    <row r="35" spans="1:14" s="359" customFormat="1" ht="21" customHeight="1" x14ac:dyDescent="0.25">
      <c r="A35" s="352" t="s">
        <v>287</v>
      </c>
      <c r="B35" s="353" t="s">
        <v>547</v>
      </c>
      <c r="C35" s="354" t="s">
        <v>526</v>
      </c>
      <c r="D35" s="354">
        <v>1</v>
      </c>
      <c r="E35" s="355">
        <v>0.2</v>
      </c>
      <c r="F35" s="356">
        <v>2340000</v>
      </c>
      <c r="G35" s="356">
        <f t="shared" si="12"/>
        <v>5616000</v>
      </c>
      <c r="H35" s="356"/>
      <c r="I35" s="356"/>
      <c r="J35" s="356"/>
      <c r="K35" s="357">
        <f t="shared" si="11"/>
        <v>5616000</v>
      </c>
      <c r="L35" s="358"/>
    </row>
    <row r="36" spans="1:14" s="359" customFormat="1" ht="21" customHeight="1" x14ac:dyDescent="0.25">
      <c r="A36" s="352" t="s">
        <v>287</v>
      </c>
      <c r="B36" s="353" t="s">
        <v>548</v>
      </c>
      <c r="C36" s="354" t="s">
        <v>526</v>
      </c>
      <c r="D36" s="354">
        <v>5</v>
      </c>
      <c r="E36" s="355">
        <v>9.3449999999999989</v>
      </c>
      <c r="F36" s="356">
        <v>2340000</v>
      </c>
      <c r="G36" s="356">
        <f t="shared" si="12"/>
        <v>262407599.99999994</v>
      </c>
      <c r="H36" s="356"/>
      <c r="I36" s="356"/>
      <c r="J36" s="356"/>
      <c r="K36" s="357">
        <f t="shared" si="11"/>
        <v>262407599.99999994</v>
      </c>
      <c r="L36" s="358"/>
    </row>
    <row r="37" spans="1:14" s="359" customFormat="1" ht="21" customHeight="1" x14ac:dyDescent="0.25">
      <c r="A37" s="352" t="s">
        <v>287</v>
      </c>
      <c r="B37" s="353" t="s">
        <v>549</v>
      </c>
      <c r="C37" s="354" t="s">
        <v>526</v>
      </c>
      <c r="D37" s="354">
        <v>13</v>
      </c>
      <c r="E37" s="355">
        <v>10.8</v>
      </c>
      <c r="F37" s="356">
        <v>2340000</v>
      </c>
      <c r="G37" s="356">
        <f t="shared" si="12"/>
        <v>303264000</v>
      </c>
      <c r="H37" s="356"/>
      <c r="I37" s="356"/>
      <c r="J37" s="356"/>
      <c r="K37" s="357">
        <f t="shared" si="11"/>
        <v>303264000</v>
      </c>
      <c r="L37" s="358"/>
    </row>
    <row r="38" spans="1:14" s="359" customFormat="1" ht="21" customHeight="1" x14ac:dyDescent="0.25">
      <c r="A38" s="352" t="s">
        <v>287</v>
      </c>
      <c r="B38" s="353" t="s">
        <v>550</v>
      </c>
      <c r="C38" s="354" t="s">
        <v>526</v>
      </c>
      <c r="D38" s="354">
        <v>18</v>
      </c>
      <c r="E38" s="355">
        <f>(E31+E32)*25%</f>
        <v>15.722500000000002</v>
      </c>
      <c r="F38" s="356">
        <v>2340000</v>
      </c>
      <c r="G38" s="356">
        <f t="shared" si="12"/>
        <v>441487800.00000012</v>
      </c>
      <c r="H38" s="356"/>
      <c r="I38" s="356"/>
      <c r="J38" s="356"/>
      <c r="K38" s="357">
        <f t="shared" si="11"/>
        <v>441487800.00000012</v>
      </c>
      <c r="L38" s="358"/>
    </row>
    <row r="39" spans="1:14" s="359" customFormat="1" ht="21" customHeight="1" x14ac:dyDescent="0.25">
      <c r="A39" s="352" t="s">
        <v>287</v>
      </c>
      <c r="B39" s="353" t="s">
        <v>551</v>
      </c>
      <c r="C39" s="354" t="s">
        <v>526</v>
      </c>
      <c r="D39" s="354">
        <v>18</v>
      </c>
      <c r="E39" s="355">
        <f>(E31+E32+E33)*20.5%</f>
        <v>12.89245</v>
      </c>
      <c r="F39" s="356">
        <v>2340000</v>
      </c>
      <c r="G39" s="356">
        <f t="shared" si="12"/>
        <v>362019996</v>
      </c>
      <c r="H39" s="356"/>
      <c r="I39" s="356"/>
      <c r="J39" s="356"/>
      <c r="K39" s="357">
        <f t="shared" si="11"/>
        <v>362019996</v>
      </c>
      <c r="L39" s="358"/>
    </row>
    <row r="40" spans="1:14" ht="19.5" customHeight="1" x14ac:dyDescent="0.25">
      <c r="A40" s="343" t="s">
        <v>541</v>
      </c>
      <c r="B40" s="360" t="s">
        <v>552</v>
      </c>
      <c r="C40" s="361"/>
      <c r="D40" s="361">
        <f>D41</f>
        <v>2</v>
      </c>
      <c r="E40" s="362"/>
      <c r="F40" s="363"/>
      <c r="G40" s="364">
        <f>SUM(G41:G41)</f>
        <v>240000000</v>
      </c>
      <c r="H40" s="364"/>
      <c r="I40" s="364"/>
      <c r="J40" s="364"/>
      <c r="K40" s="364">
        <f>SUM(K41:K41)</f>
        <v>240000000</v>
      </c>
      <c r="L40" s="313"/>
    </row>
    <row r="41" spans="1:14" ht="45" x14ac:dyDescent="0.25">
      <c r="A41" s="307" t="s">
        <v>287</v>
      </c>
      <c r="B41" s="318" t="s">
        <v>553</v>
      </c>
      <c r="C41" s="365" t="s">
        <v>526</v>
      </c>
      <c r="D41" s="319">
        <v>2</v>
      </c>
      <c r="E41" s="366"/>
      <c r="F41" s="312">
        <v>10000000</v>
      </c>
      <c r="G41" s="317">
        <f>D41*F41*12</f>
        <v>240000000</v>
      </c>
      <c r="H41" s="317"/>
      <c r="I41" s="317"/>
      <c r="J41" s="317"/>
      <c r="K41" s="317">
        <f>G41-H41-I41</f>
        <v>240000000</v>
      </c>
      <c r="L41" s="313"/>
    </row>
    <row r="42" spans="1:14" s="292" customFormat="1" ht="18.75" customHeight="1" x14ac:dyDescent="0.25">
      <c r="A42" s="241">
        <v>2</v>
      </c>
      <c r="B42" s="340" t="s">
        <v>554</v>
      </c>
      <c r="C42" s="367"/>
      <c r="D42" s="367">
        <f>D43+D44</f>
        <v>18</v>
      </c>
      <c r="E42" s="368"/>
      <c r="F42" s="369"/>
      <c r="G42" s="370">
        <f>G43+G44</f>
        <v>720000000</v>
      </c>
      <c r="H42" s="370">
        <f t="shared" ref="H42:K42" si="13">H43+H44</f>
        <v>72000000</v>
      </c>
      <c r="I42" s="370">
        <f t="shared" si="13"/>
        <v>87250000</v>
      </c>
      <c r="J42" s="370"/>
      <c r="K42" s="370">
        <f t="shared" si="13"/>
        <v>560750000</v>
      </c>
      <c r="L42" s="246"/>
    </row>
    <row r="43" spans="1:14" s="359" customFormat="1" ht="20.25" customHeight="1" x14ac:dyDescent="0.25">
      <c r="A43" s="371" t="s">
        <v>287</v>
      </c>
      <c r="B43" s="325" t="s">
        <v>555</v>
      </c>
      <c r="C43" s="354" t="s">
        <v>526</v>
      </c>
      <c r="D43" s="372">
        <f>D30</f>
        <v>18</v>
      </c>
      <c r="E43" s="373"/>
      <c r="F43" s="356">
        <v>40000000</v>
      </c>
      <c r="G43" s="356">
        <f>F43*D43</f>
        <v>720000000</v>
      </c>
      <c r="H43" s="356">
        <f>G43*0.1</f>
        <v>72000000</v>
      </c>
      <c r="I43" s="356">
        <f>16*710000+2*2340000+1410000+3700000*14+4500000*4</f>
        <v>87250000</v>
      </c>
      <c r="J43" s="356"/>
      <c r="K43" s="357">
        <f>G43-H43-I43</f>
        <v>560750000</v>
      </c>
      <c r="L43" s="358"/>
      <c r="M43" s="374">
        <f>D43*0.2</f>
        <v>3.6</v>
      </c>
    </row>
    <row r="44" spans="1:14" s="359" customFormat="1" ht="20.25" customHeight="1" x14ac:dyDescent="0.25">
      <c r="A44" s="371" t="s">
        <v>556</v>
      </c>
      <c r="B44" s="325" t="s">
        <v>557</v>
      </c>
      <c r="C44" s="354" t="s">
        <v>526</v>
      </c>
      <c r="D44" s="375"/>
      <c r="E44" s="373"/>
      <c r="F44" s="356"/>
      <c r="G44" s="356"/>
      <c r="H44" s="356"/>
      <c r="I44" s="356"/>
      <c r="J44" s="356"/>
      <c r="K44" s="356">
        <f>G44-H44</f>
        <v>0</v>
      </c>
      <c r="L44" s="358"/>
    </row>
    <row r="45" spans="1:14" s="292" customFormat="1" ht="20.25" customHeight="1" x14ac:dyDescent="0.25">
      <c r="A45" s="241">
        <v>3</v>
      </c>
      <c r="B45" s="376" t="s">
        <v>532</v>
      </c>
      <c r="C45" s="377" t="s">
        <v>526</v>
      </c>
      <c r="D45" s="367">
        <v>4</v>
      </c>
      <c r="E45" s="368"/>
      <c r="F45" s="369">
        <v>3500000</v>
      </c>
      <c r="G45" s="369">
        <f>F45*D45*12</f>
        <v>168000000</v>
      </c>
      <c r="H45" s="378"/>
      <c r="I45" s="378"/>
      <c r="J45" s="378"/>
      <c r="K45" s="379">
        <f>G45</f>
        <v>168000000</v>
      </c>
      <c r="L45" s="246"/>
    </row>
    <row r="46" spans="1:14" s="292" customFormat="1" ht="20.25" customHeight="1" x14ac:dyDescent="0.25">
      <c r="A46" s="241">
        <v>4</v>
      </c>
      <c r="B46" s="340" t="s">
        <v>533</v>
      </c>
      <c r="C46" s="377"/>
      <c r="D46" s="367"/>
      <c r="E46" s="368"/>
      <c r="F46" s="369"/>
      <c r="G46" s="379">
        <f>SUM(G47:G49)</f>
        <v>454826000</v>
      </c>
      <c r="H46" s="379">
        <f>SUM(H47:H49)</f>
        <v>0</v>
      </c>
      <c r="I46" s="379"/>
      <c r="J46" s="379"/>
      <c r="K46" s="379">
        <f>SUM(K47:K49)</f>
        <v>454826000</v>
      </c>
      <c r="L46" s="246"/>
      <c r="M46" s="292">
        <v>454826000</v>
      </c>
      <c r="N46" s="387">
        <f>K46-M46</f>
        <v>0</v>
      </c>
    </row>
    <row r="47" spans="1:14" s="359" customFormat="1" ht="20.25" customHeight="1" x14ac:dyDescent="0.25">
      <c r="A47" s="352" t="s">
        <v>287</v>
      </c>
      <c r="B47" s="353" t="s">
        <v>917</v>
      </c>
      <c r="C47" s="375" t="s">
        <v>526</v>
      </c>
      <c r="D47" s="380">
        <v>61</v>
      </c>
      <c r="E47" s="381">
        <v>0.3</v>
      </c>
      <c r="F47" s="356">
        <v>2340000</v>
      </c>
      <c r="G47" s="356">
        <f>61*E47*F47*3</f>
        <v>128466000</v>
      </c>
      <c r="H47" s="356"/>
      <c r="I47" s="356"/>
      <c r="J47" s="356"/>
      <c r="K47" s="357">
        <f>G47</f>
        <v>128466000</v>
      </c>
      <c r="L47" s="358"/>
    </row>
    <row r="48" spans="1:14" s="359" customFormat="1" ht="20.25" customHeight="1" x14ac:dyDescent="0.25">
      <c r="A48" s="352" t="s">
        <v>287</v>
      </c>
      <c r="B48" s="353" t="s">
        <v>918</v>
      </c>
      <c r="C48" s="375" t="s">
        <v>526</v>
      </c>
      <c r="D48" s="380">
        <v>20</v>
      </c>
      <c r="E48" s="381">
        <v>0.3</v>
      </c>
      <c r="F48" s="356">
        <v>2340000</v>
      </c>
      <c r="G48" s="356">
        <f>20*E48*F48*9</f>
        <v>126360000</v>
      </c>
      <c r="H48" s="356"/>
      <c r="I48" s="356"/>
      <c r="J48" s="356"/>
      <c r="K48" s="357">
        <f>G48</f>
        <v>126360000</v>
      </c>
      <c r="L48" s="358"/>
    </row>
    <row r="49" spans="1:14" s="359" customFormat="1" ht="20.25" customHeight="1" x14ac:dyDescent="0.25">
      <c r="A49" s="352" t="s">
        <v>287</v>
      </c>
      <c r="B49" s="353" t="s">
        <v>534</v>
      </c>
      <c r="C49" s="375"/>
      <c r="D49" s="375"/>
      <c r="E49" s="373"/>
      <c r="F49" s="356"/>
      <c r="G49" s="356">
        <v>200000000</v>
      </c>
      <c r="H49" s="356"/>
      <c r="I49" s="356"/>
      <c r="J49" s="356"/>
      <c r="K49" s="357">
        <f>G49</f>
        <v>200000000</v>
      </c>
      <c r="L49" s="358"/>
    </row>
    <row r="50" spans="1:14" s="292" customFormat="1" ht="20.25" customHeight="1" x14ac:dyDescent="0.25">
      <c r="A50" s="241">
        <v>5</v>
      </c>
      <c r="B50" s="340" t="s">
        <v>536</v>
      </c>
      <c r="C50" s="367"/>
      <c r="D50" s="367"/>
      <c r="E50" s="368"/>
      <c r="F50" s="369"/>
      <c r="G50" s="369">
        <f>SUM(G51:G52)</f>
        <v>736000000</v>
      </c>
      <c r="H50" s="369"/>
      <c r="I50" s="369"/>
      <c r="J50" s="369"/>
      <c r="K50" s="369">
        <f>SUM(K51:K52)</f>
        <v>736000000</v>
      </c>
      <c r="L50" s="246"/>
    </row>
    <row r="51" spans="1:14" s="359" customFormat="1" ht="20.25" customHeight="1" x14ac:dyDescent="0.25">
      <c r="A51" s="352" t="s">
        <v>287</v>
      </c>
      <c r="B51" s="382" t="s">
        <v>558</v>
      </c>
      <c r="C51" s="375"/>
      <c r="D51" s="383"/>
      <c r="E51" s="373"/>
      <c r="F51" s="356"/>
      <c r="G51" s="357">
        <v>550000000</v>
      </c>
      <c r="H51" s="356"/>
      <c r="I51" s="356"/>
      <c r="J51" s="356"/>
      <c r="K51" s="357">
        <f t="shared" ref="K51:K52" si="14">G51</f>
        <v>550000000</v>
      </c>
      <c r="L51" s="358"/>
    </row>
    <row r="52" spans="1:14" s="359" customFormat="1" ht="20.25" customHeight="1" x14ac:dyDescent="0.25">
      <c r="A52" s="352" t="s">
        <v>556</v>
      </c>
      <c r="B52" s="382" t="s">
        <v>559</v>
      </c>
      <c r="C52" s="375" t="s">
        <v>560</v>
      </c>
      <c r="D52" s="383">
        <v>12</v>
      </c>
      <c r="E52" s="373"/>
      <c r="F52" s="356">
        <v>15500000</v>
      </c>
      <c r="G52" s="356">
        <f>F52*D52</f>
        <v>186000000</v>
      </c>
      <c r="H52" s="356"/>
      <c r="I52" s="356"/>
      <c r="J52" s="356"/>
      <c r="K52" s="357">
        <f t="shared" si="14"/>
        <v>186000000</v>
      </c>
      <c r="L52" s="358"/>
      <c r="M52" s="925" t="s">
        <v>561</v>
      </c>
      <c r="N52" s="926"/>
    </row>
    <row r="53" spans="1:14" s="292" customFormat="1" ht="20.25" customHeight="1" x14ac:dyDescent="0.25">
      <c r="A53" s="241">
        <v>6</v>
      </c>
      <c r="B53" s="384" t="s">
        <v>562</v>
      </c>
      <c r="C53" s="367"/>
      <c r="D53" s="385"/>
      <c r="E53" s="386"/>
      <c r="F53" s="370"/>
      <c r="G53" s="370">
        <f>G54+G55</f>
        <v>2427000000</v>
      </c>
      <c r="H53" s="370"/>
      <c r="I53" s="370"/>
      <c r="J53" s="370"/>
      <c r="K53" s="370">
        <f>K54+K55</f>
        <v>2427000000</v>
      </c>
      <c r="L53" s="246"/>
      <c r="M53" s="292">
        <f>12000000*12</f>
        <v>144000000</v>
      </c>
      <c r="N53" s="387">
        <f>M53/M54</f>
        <v>3692307.6923076925</v>
      </c>
    </row>
    <row r="54" spans="1:14" s="359" customFormat="1" ht="23.25" customHeight="1" x14ac:dyDescent="0.25">
      <c r="A54" s="371" t="s">
        <v>287</v>
      </c>
      <c r="B54" s="382" t="s">
        <v>563</v>
      </c>
      <c r="C54" s="354"/>
      <c r="D54" s="375"/>
      <c r="E54" s="373"/>
      <c r="F54" s="356"/>
      <c r="G54" s="356">
        <v>587540000</v>
      </c>
      <c r="H54" s="356"/>
      <c r="I54" s="356"/>
      <c r="J54" s="356"/>
      <c r="K54" s="357">
        <f>G54</f>
        <v>587540000</v>
      </c>
      <c r="L54" s="358"/>
      <c r="M54" s="374">
        <f>D30+D65+D114+D187-4</f>
        <v>39</v>
      </c>
      <c r="N54" s="359" t="s">
        <v>564</v>
      </c>
    </row>
    <row r="55" spans="1:14" s="359" customFormat="1" ht="23.25" customHeight="1" x14ac:dyDescent="0.25">
      <c r="A55" s="371" t="s">
        <v>287</v>
      </c>
      <c r="B55" s="382" t="s">
        <v>565</v>
      </c>
      <c r="C55" s="375"/>
      <c r="D55" s="375"/>
      <c r="E55" s="373"/>
      <c r="F55" s="356"/>
      <c r="G55" s="356">
        <f>2427000000-G54</f>
        <v>1839460000</v>
      </c>
      <c r="H55" s="356"/>
      <c r="I55" s="356"/>
      <c r="J55" s="356"/>
      <c r="K55" s="356">
        <f>G55</f>
        <v>1839460000</v>
      </c>
      <c r="L55" s="358"/>
      <c r="M55" s="359">
        <f>43+29</f>
        <v>72</v>
      </c>
    </row>
    <row r="56" spans="1:14" s="292" customFormat="1" ht="24" customHeight="1" x14ac:dyDescent="0.25">
      <c r="A56" s="388">
        <v>7</v>
      </c>
      <c r="B56" s="389" t="s">
        <v>566</v>
      </c>
      <c r="C56" s="367"/>
      <c r="D56" s="367"/>
      <c r="E56" s="368"/>
      <c r="F56" s="369"/>
      <c r="G56" s="369">
        <f>G57</f>
        <v>531000000</v>
      </c>
      <c r="H56" s="369">
        <f t="shared" ref="H56:K56" si="15">H57</f>
        <v>0</v>
      </c>
      <c r="I56" s="369">
        <f t="shared" si="15"/>
        <v>0</v>
      </c>
      <c r="J56" s="369"/>
      <c r="K56" s="369">
        <f t="shared" si="15"/>
        <v>531000000</v>
      </c>
      <c r="L56" s="246"/>
    </row>
    <row r="57" spans="1:14" s="359" customFormat="1" ht="30" x14ac:dyDescent="0.25">
      <c r="A57" s="390" t="s">
        <v>556</v>
      </c>
      <c r="B57" s="391" t="s">
        <v>567</v>
      </c>
      <c r="C57" s="375"/>
      <c r="D57" s="375"/>
      <c r="E57" s="373"/>
      <c r="F57" s="356"/>
      <c r="G57" s="356">
        <v>531000000</v>
      </c>
      <c r="H57" s="356"/>
      <c r="I57" s="356"/>
      <c r="J57" s="356"/>
      <c r="K57" s="356">
        <f>G57</f>
        <v>531000000</v>
      </c>
      <c r="L57" s="358"/>
    </row>
    <row r="58" spans="1:14" s="292" customFormat="1" ht="33" customHeight="1" x14ac:dyDescent="0.25">
      <c r="A58" s="392">
        <v>8</v>
      </c>
      <c r="B58" s="393" t="s">
        <v>568</v>
      </c>
      <c r="C58" s="394" t="s">
        <v>526</v>
      </c>
      <c r="D58" s="395">
        <v>1</v>
      </c>
      <c r="E58" s="396"/>
      <c r="F58" s="643">
        <f>2000000+2340000*17%</f>
        <v>2397800</v>
      </c>
      <c r="G58" s="644">
        <f>F58*D58*5</f>
        <v>11989000</v>
      </c>
      <c r="H58" s="369"/>
      <c r="I58" s="369"/>
      <c r="J58" s="369"/>
      <c r="K58" s="369">
        <f>G58</f>
        <v>11989000</v>
      </c>
      <c r="L58" s="246"/>
    </row>
    <row r="59" spans="1:14" s="292" customFormat="1" ht="23.25" customHeight="1" x14ac:dyDescent="0.25">
      <c r="A59" s="392">
        <v>9</v>
      </c>
      <c r="B59" s="393" t="s">
        <v>569</v>
      </c>
      <c r="C59" s="394"/>
      <c r="D59" s="395"/>
      <c r="E59" s="396"/>
      <c r="F59" s="643"/>
      <c r="G59" s="644">
        <f>G60+G61</f>
        <v>1605780000</v>
      </c>
      <c r="H59" s="369"/>
      <c r="I59" s="369"/>
      <c r="J59" s="369"/>
      <c r="K59" s="369">
        <f>K60+K61</f>
        <v>1605780000</v>
      </c>
      <c r="L59" s="246"/>
    </row>
    <row r="60" spans="1:14" s="359" customFormat="1" ht="23.25" customHeight="1" x14ac:dyDescent="0.25">
      <c r="A60" s="397" t="s">
        <v>287</v>
      </c>
      <c r="B60" s="398" t="s">
        <v>570</v>
      </c>
      <c r="C60" s="399" t="s">
        <v>526</v>
      </c>
      <c r="D60" s="390">
        <v>33</v>
      </c>
      <c r="E60" s="400"/>
      <c r="F60" s="645">
        <f>2300000+2340000*17%</f>
        <v>2697800</v>
      </c>
      <c r="G60" s="646">
        <f>F60*D60*12</f>
        <v>1068328800</v>
      </c>
      <c r="H60" s="356"/>
      <c r="I60" s="356"/>
      <c r="J60" s="356"/>
      <c r="K60" s="356">
        <f>G60</f>
        <v>1068328800</v>
      </c>
      <c r="L60" s="358"/>
    </row>
    <row r="61" spans="1:14" s="359" customFormat="1" ht="23.25" customHeight="1" x14ac:dyDescent="0.25">
      <c r="A61" s="397" t="s">
        <v>287</v>
      </c>
      <c r="B61" s="398" t="s">
        <v>571</v>
      </c>
      <c r="C61" s="399" t="s">
        <v>526</v>
      </c>
      <c r="D61" s="390">
        <v>33</v>
      </c>
      <c r="E61" s="400">
        <v>0.57999999999999996</v>
      </c>
      <c r="F61" s="645">
        <f>2340000</f>
        <v>2340000</v>
      </c>
      <c r="G61" s="646">
        <f>F61*D61*E61*12</f>
        <v>537451200</v>
      </c>
      <c r="H61" s="356"/>
      <c r="I61" s="356"/>
      <c r="J61" s="356"/>
      <c r="K61" s="356">
        <f>G61</f>
        <v>537451200</v>
      </c>
      <c r="L61" s="358"/>
    </row>
    <row r="62" spans="1:14" s="292" customFormat="1" ht="23.25" customHeight="1" x14ac:dyDescent="0.25">
      <c r="A62" s="392">
        <v>10</v>
      </c>
      <c r="B62" s="393" t="s">
        <v>572</v>
      </c>
      <c r="C62" s="394"/>
      <c r="D62" s="395"/>
      <c r="E62" s="396"/>
      <c r="F62" s="643"/>
      <c r="G62" s="644">
        <v>10000000</v>
      </c>
      <c r="H62" s="369"/>
      <c r="I62" s="369"/>
      <c r="J62" s="369"/>
      <c r="K62" s="369">
        <f>G62</f>
        <v>10000000</v>
      </c>
      <c r="L62" s="246"/>
    </row>
    <row r="63" spans="1:14" s="292" customFormat="1" ht="36.75" customHeight="1" x14ac:dyDescent="0.25">
      <c r="A63" s="392">
        <v>11</v>
      </c>
      <c r="B63" s="401" t="s">
        <v>573</v>
      </c>
      <c r="C63" s="394" t="s">
        <v>526</v>
      </c>
      <c r="D63" s="395">
        <v>18</v>
      </c>
      <c r="E63" s="402">
        <f>E31</f>
        <v>60.690000000000005</v>
      </c>
      <c r="F63" s="643">
        <v>234000</v>
      </c>
      <c r="G63" s="644">
        <f>F63*E63*12</f>
        <v>170417520.00000003</v>
      </c>
      <c r="H63" s="369"/>
      <c r="I63" s="369"/>
      <c r="J63" s="369"/>
      <c r="K63" s="369">
        <f>G63</f>
        <v>170417520.00000003</v>
      </c>
      <c r="L63" s="246"/>
    </row>
    <row r="64" spans="1:14" s="407" customFormat="1" ht="28.5" customHeight="1" x14ac:dyDescent="0.25">
      <c r="A64" s="300" t="s">
        <v>27</v>
      </c>
      <c r="B64" s="403" t="s">
        <v>574</v>
      </c>
      <c r="C64" s="302" t="s">
        <v>526</v>
      </c>
      <c r="D64" s="302">
        <v>18</v>
      </c>
      <c r="E64" s="404"/>
      <c r="F64" s="405"/>
      <c r="G64" s="405">
        <f>SUM(G65:G70)</f>
        <v>6069708020</v>
      </c>
      <c r="H64" s="405">
        <f t="shared" ref="H64:K64" si="16">SUM(H65:H70)</f>
        <v>40000000</v>
      </c>
      <c r="I64" s="405">
        <f t="shared" si="16"/>
        <v>47140000</v>
      </c>
      <c r="J64" s="405"/>
      <c r="K64" s="405">
        <f t="shared" si="16"/>
        <v>5982568000</v>
      </c>
      <c r="L64" s="406"/>
      <c r="N64" s="569">
        <f>N65+N66</f>
        <v>5882568000</v>
      </c>
    </row>
    <row r="65" spans="1:14" ht="26.25" customHeight="1" x14ac:dyDescent="0.25">
      <c r="A65" s="307">
        <v>1</v>
      </c>
      <c r="B65" s="308" t="s">
        <v>527</v>
      </c>
      <c r="C65" s="309" t="s">
        <v>526</v>
      </c>
      <c r="D65" s="309">
        <v>10</v>
      </c>
      <c r="E65" s="310">
        <f>E84</f>
        <v>67.417750000000012</v>
      </c>
      <c r="F65" s="312"/>
      <c r="G65" s="312">
        <f>G84</f>
        <v>1893090420</v>
      </c>
      <c r="H65" s="312"/>
      <c r="I65" s="312"/>
      <c r="J65" s="312"/>
      <c r="K65" s="312">
        <f>G65-H65-420</f>
        <v>1893090000</v>
      </c>
      <c r="L65" s="313"/>
      <c r="M65" s="242" t="s">
        <v>893</v>
      </c>
      <c r="N65" s="293">
        <f>K65+K66+K68+K74+K75+K76+K77+K78+K81</f>
        <v>3809090000</v>
      </c>
    </row>
    <row r="66" spans="1:14" ht="26.25" customHeight="1" x14ac:dyDescent="0.25">
      <c r="A66" s="307">
        <v>2</v>
      </c>
      <c r="B66" s="314" t="s">
        <v>528</v>
      </c>
      <c r="C66" s="309" t="s">
        <v>526</v>
      </c>
      <c r="D66" s="309">
        <v>10</v>
      </c>
      <c r="E66" s="310"/>
      <c r="F66" s="312">
        <v>40000000</v>
      </c>
      <c r="G66" s="312">
        <f>F66*D66</f>
        <v>400000000</v>
      </c>
      <c r="H66" s="312">
        <f>G66*0.1</f>
        <v>40000000</v>
      </c>
      <c r="I66" s="312">
        <f>I95</f>
        <v>47140000</v>
      </c>
      <c r="J66" s="312"/>
      <c r="K66" s="312">
        <f>G66-H66-I66</f>
        <v>312860000</v>
      </c>
      <c r="L66" s="313"/>
      <c r="M66" s="242" t="s">
        <v>894</v>
      </c>
      <c r="N66" s="293">
        <f>K67+K72+K73+K80</f>
        <v>2073478000</v>
      </c>
    </row>
    <row r="67" spans="1:14" s="408" customFormat="1" ht="30" x14ac:dyDescent="0.25">
      <c r="A67" s="307">
        <v>3</v>
      </c>
      <c r="B67" s="315" t="s">
        <v>529</v>
      </c>
      <c r="C67" s="309" t="s">
        <v>526</v>
      </c>
      <c r="D67" s="309">
        <v>2</v>
      </c>
      <c r="E67" s="316"/>
      <c r="F67" s="312">
        <f>F98</f>
        <v>2447800</v>
      </c>
      <c r="G67" s="317">
        <f>G98</f>
        <v>24478000</v>
      </c>
      <c r="H67" s="323"/>
      <c r="I67" s="323"/>
      <c r="J67" s="323"/>
      <c r="K67" s="312">
        <f>G67-H67</f>
        <v>24478000</v>
      </c>
      <c r="L67" s="307"/>
    </row>
    <row r="68" spans="1:14" s="408" customFormat="1" ht="26.25" customHeight="1" x14ac:dyDescent="0.25">
      <c r="A68" s="307">
        <v>4</v>
      </c>
      <c r="B68" s="318" t="s">
        <v>531</v>
      </c>
      <c r="C68" s="319" t="s">
        <v>526</v>
      </c>
      <c r="D68" s="319">
        <v>10</v>
      </c>
      <c r="E68" s="321">
        <f>E97</f>
        <v>34.950000000000003</v>
      </c>
      <c r="F68" s="444">
        <f t="shared" ref="F68:G68" si="17">F97</f>
        <v>234000</v>
      </c>
      <c r="G68" s="263">
        <f t="shared" si="17"/>
        <v>98139600.000000015</v>
      </c>
      <c r="H68" s="323"/>
      <c r="I68" s="323"/>
      <c r="J68" s="323"/>
      <c r="K68" s="312">
        <f>G68-H68+400</f>
        <v>98140000.000000015</v>
      </c>
      <c r="L68" s="307"/>
    </row>
    <row r="69" spans="1:14" s="408" customFormat="1" ht="36.75" customHeight="1" x14ac:dyDescent="0.25">
      <c r="A69" s="307">
        <v>5</v>
      </c>
      <c r="B69" s="318" t="str">
        <f>B99</f>
        <v>Kinh phí thực hiện nhiệm vụ chung của cơ quan tổng hợp, Ban chỉ đạo các chương trình MTQG</v>
      </c>
      <c r="C69" s="319"/>
      <c r="D69" s="319"/>
      <c r="E69" s="321"/>
      <c r="F69" s="444"/>
      <c r="G69" s="263">
        <f>G99</f>
        <v>100000000</v>
      </c>
      <c r="H69" s="323"/>
      <c r="I69" s="323"/>
      <c r="J69" s="323"/>
      <c r="K69" s="312">
        <f>G69-H69</f>
        <v>100000000</v>
      </c>
      <c r="L69" s="307"/>
    </row>
    <row r="70" spans="1:14" s="408" customFormat="1" ht="26.25" customHeight="1" x14ac:dyDescent="0.25">
      <c r="A70" s="307">
        <v>6</v>
      </c>
      <c r="B70" s="325" t="s">
        <v>575</v>
      </c>
      <c r="C70" s="309"/>
      <c r="D70" s="309"/>
      <c r="E70" s="410"/>
      <c r="F70" s="323"/>
      <c r="G70" s="323">
        <f>G71+G78+G79+G81</f>
        <v>3554000000</v>
      </c>
      <c r="H70" s="323">
        <f t="shared" ref="H70:K70" si="18">H71+H78+H79+H81</f>
        <v>0</v>
      </c>
      <c r="I70" s="323">
        <f t="shared" si="18"/>
        <v>0</v>
      </c>
      <c r="J70" s="323"/>
      <c r="K70" s="323">
        <f t="shared" si="18"/>
        <v>3554000000</v>
      </c>
      <c r="L70" s="307"/>
    </row>
    <row r="71" spans="1:14" s="408" customFormat="1" ht="21.75" customHeight="1" x14ac:dyDescent="0.25">
      <c r="A71" s="411" t="s">
        <v>576</v>
      </c>
      <c r="B71" s="326" t="s">
        <v>165</v>
      </c>
      <c r="C71" s="309"/>
      <c r="D71" s="309"/>
      <c r="E71" s="410"/>
      <c r="F71" s="323"/>
      <c r="G71" s="329">
        <f>SUM(G72:G77)</f>
        <v>2163000000</v>
      </c>
      <c r="H71" s="329"/>
      <c r="I71" s="329">
        <f t="shared" ref="I71:K71" si="19">SUM(I72:I77)</f>
        <v>0</v>
      </c>
      <c r="J71" s="329"/>
      <c r="K71" s="329">
        <f t="shared" si="19"/>
        <v>2163000000</v>
      </c>
      <c r="L71" s="307"/>
    </row>
    <row r="72" spans="1:14" s="408" customFormat="1" ht="24" customHeight="1" x14ac:dyDescent="0.25">
      <c r="A72" s="409" t="s">
        <v>74</v>
      </c>
      <c r="B72" s="325" t="s">
        <v>886</v>
      </c>
      <c r="C72" s="309"/>
      <c r="D72" s="309"/>
      <c r="E72" s="410"/>
      <c r="F72" s="323"/>
      <c r="G72" s="323">
        <f>G102</f>
        <v>824000000</v>
      </c>
      <c r="H72" s="323"/>
      <c r="I72" s="323"/>
      <c r="J72" s="323"/>
      <c r="K72" s="312">
        <f t="shared" ref="K72:K80" si="20">G72-H72</f>
        <v>824000000</v>
      </c>
      <c r="L72" s="307"/>
    </row>
    <row r="73" spans="1:14" s="408" customFormat="1" ht="22.5" customHeight="1" x14ac:dyDescent="0.25">
      <c r="A73" s="409" t="s">
        <v>74</v>
      </c>
      <c r="B73" s="325" t="s">
        <v>578</v>
      </c>
      <c r="C73" s="309"/>
      <c r="D73" s="309"/>
      <c r="E73" s="410"/>
      <c r="F73" s="323"/>
      <c r="G73" s="323">
        <f t="shared" ref="G73:G80" si="21">G103</f>
        <v>404000000</v>
      </c>
      <c r="H73" s="323"/>
      <c r="I73" s="323"/>
      <c r="J73" s="323"/>
      <c r="K73" s="312">
        <f t="shared" si="20"/>
        <v>404000000</v>
      </c>
      <c r="L73" s="307"/>
    </row>
    <row r="74" spans="1:14" s="408" customFormat="1" ht="22.5" customHeight="1" x14ac:dyDescent="0.25">
      <c r="A74" s="409" t="s">
        <v>74</v>
      </c>
      <c r="B74" s="325" t="s">
        <v>579</v>
      </c>
      <c r="C74" s="309"/>
      <c r="D74" s="309"/>
      <c r="E74" s="410"/>
      <c r="F74" s="323"/>
      <c r="G74" s="323">
        <f t="shared" si="21"/>
        <v>755000000</v>
      </c>
      <c r="H74" s="323"/>
      <c r="I74" s="323"/>
      <c r="J74" s="323"/>
      <c r="K74" s="312">
        <f t="shared" si="20"/>
        <v>755000000</v>
      </c>
      <c r="L74" s="307"/>
    </row>
    <row r="75" spans="1:14" s="408" customFormat="1" ht="36.75" customHeight="1" x14ac:dyDescent="0.25">
      <c r="A75" s="409" t="s">
        <v>74</v>
      </c>
      <c r="B75" s="325" t="s">
        <v>580</v>
      </c>
      <c r="C75" s="309"/>
      <c r="D75" s="309"/>
      <c r="E75" s="410"/>
      <c r="F75" s="323"/>
      <c r="G75" s="323">
        <f t="shared" si="21"/>
        <v>120000000</v>
      </c>
      <c r="H75" s="323"/>
      <c r="I75" s="323"/>
      <c r="J75" s="323"/>
      <c r="K75" s="312">
        <f t="shared" si="20"/>
        <v>120000000</v>
      </c>
      <c r="L75" s="307"/>
    </row>
    <row r="76" spans="1:14" s="408" customFormat="1" ht="21" customHeight="1" x14ac:dyDescent="0.25">
      <c r="A76" s="409" t="s">
        <v>74</v>
      </c>
      <c r="B76" s="412" t="s">
        <v>581</v>
      </c>
      <c r="C76" s="309"/>
      <c r="D76" s="309"/>
      <c r="E76" s="410"/>
      <c r="F76" s="323"/>
      <c r="G76" s="323">
        <f t="shared" si="21"/>
        <v>10000000</v>
      </c>
      <c r="H76" s="323"/>
      <c r="I76" s="323"/>
      <c r="J76" s="323"/>
      <c r="K76" s="312">
        <f t="shared" si="20"/>
        <v>10000000</v>
      </c>
      <c r="L76" s="307"/>
    </row>
    <row r="77" spans="1:14" s="408" customFormat="1" ht="21" customHeight="1" x14ac:dyDescent="0.25">
      <c r="A77" s="409" t="s">
        <v>74</v>
      </c>
      <c r="B77" s="412" t="s">
        <v>582</v>
      </c>
      <c r="C77" s="309"/>
      <c r="D77" s="309"/>
      <c r="E77" s="410"/>
      <c r="F77" s="323"/>
      <c r="G77" s="323">
        <f t="shared" si="21"/>
        <v>50000000</v>
      </c>
      <c r="H77" s="323"/>
      <c r="I77" s="323"/>
      <c r="J77" s="323"/>
      <c r="K77" s="312">
        <f t="shared" si="20"/>
        <v>50000000</v>
      </c>
      <c r="L77" s="307"/>
    </row>
    <row r="78" spans="1:14" s="408" customFormat="1" ht="21" customHeight="1" x14ac:dyDescent="0.25">
      <c r="A78" s="411" t="s">
        <v>583</v>
      </c>
      <c r="B78" s="326" t="s">
        <v>584</v>
      </c>
      <c r="C78" s="309"/>
      <c r="D78" s="309"/>
      <c r="E78" s="410"/>
      <c r="F78" s="323"/>
      <c r="G78" s="329">
        <f t="shared" si="21"/>
        <v>500000000</v>
      </c>
      <c r="H78" s="329"/>
      <c r="I78" s="329"/>
      <c r="J78" s="329"/>
      <c r="K78" s="330">
        <f t="shared" si="20"/>
        <v>500000000</v>
      </c>
      <c r="L78" s="307"/>
    </row>
    <row r="79" spans="1:14" s="408" customFormat="1" ht="21" customHeight="1" x14ac:dyDescent="0.25">
      <c r="A79" s="244" t="s">
        <v>585</v>
      </c>
      <c r="B79" s="413" t="s">
        <v>164</v>
      </c>
      <c r="C79" s="309"/>
      <c r="D79" s="309"/>
      <c r="E79" s="410"/>
      <c r="F79" s="323"/>
      <c r="G79" s="329">
        <f t="shared" si="21"/>
        <v>821000000</v>
      </c>
      <c r="H79" s="329"/>
      <c r="I79" s="329"/>
      <c r="J79" s="329"/>
      <c r="K79" s="330">
        <f t="shared" si="20"/>
        <v>821000000</v>
      </c>
      <c r="L79" s="307"/>
    </row>
    <row r="80" spans="1:14" s="408" customFormat="1" ht="37.5" customHeight="1" x14ac:dyDescent="0.25">
      <c r="A80" s="307" t="s">
        <v>74</v>
      </c>
      <c r="B80" s="412" t="s">
        <v>586</v>
      </c>
      <c r="C80" s="309"/>
      <c r="D80" s="309"/>
      <c r="E80" s="410"/>
      <c r="F80" s="323"/>
      <c r="G80" s="323">
        <f t="shared" si="21"/>
        <v>821000000</v>
      </c>
      <c r="H80" s="323"/>
      <c r="I80" s="323"/>
      <c r="J80" s="323"/>
      <c r="K80" s="312">
        <f t="shared" si="20"/>
        <v>821000000</v>
      </c>
      <c r="L80" s="307"/>
    </row>
    <row r="81" spans="1:12" s="417" customFormat="1" ht="22.5" customHeight="1" x14ac:dyDescent="0.25">
      <c r="A81" s="244" t="s">
        <v>587</v>
      </c>
      <c r="B81" s="414" t="s">
        <v>566</v>
      </c>
      <c r="C81" s="296"/>
      <c r="D81" s="415"/>
      <c r="E81" s="416"/>
      <c r="F81" s="330"/>
      <c r="G81" s="330">
        <f>G82</f>
        <v>70000000</v>
      </c>
      <c r="H81" s="329"/>
      <c r="I81" s="329"/>
      <c r="J81" s="329"/>
      <c r="K81" s="329">
        <f>K82</f>
        <v>70000000</v>
      </c>
      <c r="L81" s="244"/>
    </row>
    <row r="82" spans="1:12" s="408" customFormat="1" ht="22.5" customHeight="1" x14ac:dyDescent="0.25">
      <c r="A82" s="307" t="s">
        <v>74</v>
      </c>
      <c r="B82" s="412" t="s">
        <v>588</v>
      </c>
      <c r="C82" s="309"/>
      <c r="D82" s="418"/>
      <c r="E82" s="419"/>
      <c r="F82" s="312"/>
      <c r="G82" s="312">
        <f>G112</f>
        <v>70000000</v>
      </c>
      <c r="H82" s="323"/>
      <c r="I82" s="323"/>
      <c r="J82" s="323"/>
      <c r="K82" s="323">
        <f>G82</f>
        <v>70000000</v>
      </c>
      <c r="L82" s="307"/>
    </row>
    <row r="83" spans="1:12" s="339" customFormat="1" ht="20.25" hidden="1" customHeight="1" x14ac:dyDescent="0.25">
      <c r="A83" s="333"/>
      <c r="B83" s="334" t="s">
        <v>589</v>
      </c>
      <c r="C83" s="335"/>
      <c r="D83" s="335">
        <v>18</v>
      </c>
      <c r="E83" s="336"/>
      <c r="F83" s="337"/>
      <c r="G83" s="337">
        <f>G84+G94+G97+G98+G100+G99</f>
        <v>6069708020</v>
      </c>
      <c r="H83" s="337">
        <f t="shared" ref="H83:K83" si="22">H84+H94+H97+H98+H100+H99</f>
        <v>40000000</v>
      </c>
      <c r="I83" s="337">
        <f t="shared" si="22"/>
        <v>47140000</v>
      </c>
      <c r="J83" s="337"/>
      <c r="K83" s="337">
        <f t="shared" si="22"/>
        <v>5982568020</v>
      </c>
      <c r="L83" s="333"/>
    </row>
    <row r="84" spans="1:12" s="408" customFormat="1" ht="18.75" hidden="1" customHeight="1" x14ac:dyDescent="0.25">
      <c r="A84" s="307" t="s">
        <v>576</v>
      </c>
      <c r="B84" s="325" t="s">
        <v>540</v>
      </c>
      <c r="C84" s="309"/>
      <c r="D84" s="309">
        <v>10</v>
      </c>
      <c r="E84" s="310">
        <f>E85</f>
        <v>67.417750000000012</v>
      </c>
      <c r="F84" s="323"/>
      <c r="G84" s="323">
        <f>G85</f>
        <v>1893090420</v>
      </c>
      <c r="H84" s="323"/>
      <c r="I84" s="323"/>
      <c r="J84" s="323"/>
      <c r="K84" s="323">
        <f>K85</f>
        <v>1893090420</v>
      </c>
      <c r="L84" s="307"/>
    </row>
    <row r="85" spans="1:12" s="408" customFormat="1" ht="18.75" hidden="1" customHeight="1" x14ac:dyDescent="0.25">
      <c r="A85" s="307" t="s">
        <v>541</v>
      </c>
      <c r="B85" s="420" t="s">
        <v>542</v>
      </c>
      <c r="C85" s="309"/>
      <c r="D85" s="309">
        <v>10</v>
      </c>
      <c r="E85" s="421">
        <f>SUM(E86:E93)</f>
        <v>67.417750000000012</v>
      </c>
      <c r="F85" s="312"/>
      <c r="G85" s="312">
        <f>SUM(G86:G93)</f>
        <v>1893090420</v>
      </c>
      <c r="H85" s="312">
        <f>SUM(H86:H93)</f>
        <v>0</v>
      </c>
      <c r="I85" s="312"/>
      <c r="J85" s="312"/>
      <c r="K85" s="312">
        <f>SUM(K86:K93)</f>
        <v>1893090420</v>
      </c>
      <c r="L85" s="307"/>
    </row>
    <row r="86" spans="1:12" s="408" customFormat="1" ht="18.75" hidden="1" customHeight="1" x14ac:dyDescent="0.25">
      <c r="A86" s="307" t="s">
        <v>287</v>
      </c>
      <c r="B86" s="325" t="s">
        <v>543</v>
      </c>
      <c r="C86" s="365" t="s">
        <v>526</v>
      </c>
      <c r="D86" s="365">
        <v>10</v>
      </c>
      <c r="E86" s="422">
        <v>34.950000000000003</v>
      </c>
      <c r="F86" s="312">
        <v>2340000</v>
      </c>
      <c r="G86" s="312">
        <f>E86*F86*12</f>
        <v>981396000</v>
      </c>
      <c r="H86" s="323"/>
      <c r="I86" s="323"/>
      <c r="J86" s="323"/>
      <c r="K86" s="323">
        <f>G86</f>
        <v>981396000</v>
      </c>
      <c r="L86" s="307"/>
    </row>
    <row r="87" spans="1:12" s="408" customFormat="1" ht="18.75" hidden="1" customHeight="1" x14ac:dyDescent="0.25">
      <c r="A87" s="307" t="s">
        <v>287</v>
      </c>
      <c r="B87" s="325" t="s">
        <v>544</v>
      </c>
      <c r="C87" s="365" t="s">
        <v>526</v>
      </c>
      <c r="D87" s="365">
        <v>2</v>
      </c>
      <c r="E87" s="366">
        <v>0.5</v>
      </c>
      <c r="F87" s="312">
        <v>2340000</v>
      </c>
      <c r="G87" s="312">
        <f t="shared" ref="G87:G93" si="23">E87*F87*12</f>
        <v>14040000</v>
      </c>
      <c r="H87" s="323"/>
      <c r="I87" s="323"/>
      <c r="J87" s="323"/>
      <c r="K87" s="323">
        <f t="shared" ref="K87:K93" si="24">G87</f>
        <v>14040000</v>
      </c>
      <c r="L87" s="307"/>
    </row>
    <row r="88" spans="1:12" s="408" customFormat="1" ht="18.75" hidden="1" customHeight="1" x14ac:dyDescent="0.25">
      <c r="A88" s="307" t="s">
        <v>287</v>
      </c>
      <c r="B88" s="325" t="s">
        <v>546</v>
      </c>
      <c r="C88" s="365" t="s">
        <v>526</v>
      </c>
      <c r="D88" s="365">
        <v>10</v>
      </c>
      <c r="E88" s="366">
        <f>D88*0.7</f>
        <v>7</v>
      </c>
      <c r="F88" s="312">
        <v>2340000</v>
      </c>
      <c r="G88" s="312">
        <f t="shared" si="23"/>
        <v>196560000</v>
      </c>
      <c r="H88" s="323"/>
      <c r="I88" s="323"/>
      <c r="J88" s="323"/>
      <c r="K88" s="323">
        <f t="shared" si="24"/>
        <v>196560000</v>
      </c>
      <c r="L88" s="307"/>
    </row>
    <row r="89" spans="1:12" s="408" customFormat="1" ht="18.75" hidden="1" customHeight="1" x14ac:dyDescent="0.25">
      <c r="A89" s="307" t="s">
        <v>556</v>
      </c>
      <c r="B89" s="325" t="s">
        <v>590</v>
      </c>
      <c r="C89" s="365" t="s">
        <v>526</v>
      </c>
      <c r="D89" s="365">
        <v>1</v>
      </c>
      <c r="E89" s="366">
        <v>0.1</v>
      </c>
      <c r="F89" s="312">
        <v>2340000</v>
      </c>
      <c r="G89" s="312">
        <f t="shared" si="23"/>
        <v>2808000</v>
      </c>
      <c r="H89" s="323"/>
      <c r="I89" s="323"/>
      <c r="J89" s="323"/>
      <c r="K89" s="323">
        <f t="shared" si="24"/>
        <v>2808000</v>
      </c>
      <c r="L89" s="307"/>
    </row>
    <row r="90" spans="1:12" s="408" customFormat="1" ht="18.75" hidden="1" customHeight="1" x14ac:dyDescent="0.25">
      <c r="A90" s="307" t="s">
        <v>287</v>
      </c>
      <c r="B90" s="325" t="s">
        <v>548</v>
      </c>
      <c r="C90" s="365" t="s">
        <v>526</v>
      </c>
      <c r="D90" s="365">
        <v>1</v>
      </c>
      <c r="E90" s="423">
        <v>1.6379999999999999</v>
      </c>
      <c r="F90" s="312">
        <v>2340000</v>
      </c>
      <c r="G90" s="312">
        <f t="shared" si="23"/>
        <v>45995040</v>
      </c>
      <c r="H90" s="323"/>
      <c r="I90" s="323"/>
      <c r="J90" s="323"/>
      <c r="K90" s="323">
        <f t="shared" si="24"/>
        <v>45995040</v>
      </c>
      <c r="L90" s="307"/>
    </row>
    <row r="91" spans="1:12" s="408" customFormat="1" ht="18.75" hidden="1" customHeight="1" x14ac:dyDescent="0.25">
      <c r="A91" s="307" t="s">
        <v>287</v>
      </c>
      <c r="B91" s="325" t="s">
        <v>549</v>
      </c>
      <c r="C91" s="365" t="s">
        <v>526</v>
      </c>
      <c r="D91" s="365">
        <v>9</v>
      </c>
      <c r="E91" s="366">
        <v>7.1</v>
      </c>
      <c r="F91" s="312">
        <v>2340000</v>
      </c>
      <c r="G91" s="312">
        <f t="shared" si="23"/>
        <v>199368000</v>
      </c>
      <c r="H91" s="323"/>
      <c r="I91" s="323"/>
      <c r="J91" s="323"/>
      <c r="K91" s="323">
        <f t="shared" si="24"/>
        <v>199368000</v>
      </c>
      <c r="L91" s="307"/>
    </row>
    <row r="92" spans="1:12" s="408" customFormat="1" ht="18.75" hidden="1" customHeight="1" x14ac:dyDescent="0.25">
      <c r="A92" s="307" t="s">
        <v>287</v>
      </c>
      <c r="B92" s="325" t="s">
        <v>550</v>
      </c>
      <c r="C92" s="365" t="s">
        <v>526</v>
      </c>
      <c r="D92" s="365">
        <v>10</v>
      </c>
      <c r="E92" s="424">
        <f>(E86+E87)*0.25</f>
        <v>8.8625000000000007</v>
      </c>
      <c r="F92" s="312">
        <v>2340000</v>
      </c>
      <c r="G92" s="312">
        <f t="shared" si="23"/>
        <v>248859000</v>
      </c>
      <c r="H92" s="323"/>
      <c r="I92" s="323"/>
      <c r="J92" s="323"/>
      <c r="K92" s="323">
        <f t="shared" si="24"/>
        <v>248859000</v>
      </c>
      <c r="L92" s="307"/>
    </row>
    <row r="93" spans="1:12" s="408" customFormat="1" ht="18.75" hidden="1" customHeight="1" x14ac:dyDescent="0.25">
      <c r="A93" s="307" t="s">
        <v>287</v>
      </c>
      <c r="B93" s="325" t="s">
        <v>551</v>
      </c>
      <c r="C93" s="365" t="s">
        <v>526</v>
      </c>
      <c r="D93" s="365">
        <v>10</v>
      </c>
      <c r="E93" s="423">
        <f>(E86+E87)*20.5%</f>
        <v>7.2672499999999998</v>
      </c>
      <c r="F93" s="312">
        <v>2340000</v>
      </c>
      <c r="G93" s="312">
        <f t="shared" si="23"/>
        <v>204064380</v>
      </c>
      <c r="H93" s="323"/>
      <c r="I93" s="323"/>
      <c r="J93" s="323"/>
      <c r="K93" s="323">
        <f t="shared" si="24"/>
        <v>204064380</v>
      </c>
      <c r="L93" s="307"/>
    </row>
    <row r="94" spans="1:12" s="408" customFormat="1" ht="18.75" hidden="1" customHeight="1" x14ac:dyDescent="0.25">
      <c r="A94" s="307" t="s">
        <v>583</v>
      </c>
      <c r="B94" s="325" t="s">
        <v>591</v>
      </c>
      <c r="C94" s="319"/>
      <c r="D94" s="319">
        <f>D95+D96</f>
        <v>10</v>
      </c>
      <c r="E94" s="316"/>
      <c r="F94" s="312"/>
      <c r="G94" s="425">
        <f>G95+G96</f>
        <v>400000000</v>
      </c>
      <c r="H94" s="425">
        <f t="shared" ref="H94:K94" si="25">H95+H96</f>
        <v>40000000</v>
      </c>
      <c r="I94" s="425">
        <f t="shared" si="25"/>
        <v>47140000</v>
      </c>
      <c r="J94" s="425"/>
      <c r="K94" s="425">
        <f t="shared" si="25"/>
        <v>312860000</v>
      </c>
      <c r="L94" s="307"/>
    </row>
    <row r="95" spans="1:12" s="408" customFormat="1" ht="18.75" hidden="1" customHeight="1" x14ac:dyDescent="0.25">
      <c r="A95" s="426" t="s">
        <v>287</v>
      </c>
      <c r="B95" s="325" t="s">
        <v>592</v>
      </c>
      <c r="C95" s="365" t="s">
        <v>526</v>
      </c>
      <c r="D95" s="319">
        <v>10</v>
      </c>
      <c r="E95" s="316"/>
      <c r="F95" s="312">
        <v>40000000</v>
      </c>
      <c r="G95" s="425">
        <f>F95*D95</f>
        <v>400000000</v>
      </c>
      <c r="H95" s="323">
        <f>G95*0.1</f>
        <v>40000000</v>
      </c>
      <c r="I95" s="356">
        <f>9*710000+1*2340000+1410000+3700000*10</f>
        <v>47140000</v>
      </c>
      <c r="J95" s="356"/>
      <c r="K95" s="323">
        <f>G95-H95-I95</f>
        <v>312860000</v>
      </c>
      <c r="L95" s="307"/>
    </row>
    <row r="96" spans="1:12" s="408" customFormat="1" ht="18.75" hidden="1" customHeight="1" x14ac:dyDescent="0.25">
      <c r="A96" s="426" t="s">
        <v>593</v>
      </c>
      <c r="B96" s="325" t="s">
        <v>557</v>
      </c>
      <c r="C96" s="365" t="s">
        <v>526</v>
      </c>
      <c r="D96" s="319">
        <v>0</v>
      </c>
      <c r="E96" s="316"/>
      <c r="F96" s="312"/>
      <c r="G96" s="312">
        <f>D96*F96+H96</f>
        <v>0</v>
      </c>
      <c r="H96" s="323">
        <f>D96*1200000</f>
        <v>0</v>
      </c>
      <c r="I96" s="323"/>
      <c r="J96" s="323"/>
      <c r="K96" s="323">
        <f>G96-H96</f>
        <v>0</v>
      </c>
      <c r="L96" s="307"/>
    </row>
    <row r="97" spans="1:12" s="408" customFormat="1" ht="30" hidden="1" x14ac:dyDescent="0.25">
      <c r="A97" s="307" t="s">
        <v>585</v>
      </c>
      <c r="B97" s="427" t="s">
        <v>573</v>
      </c>
      <c r="C97" s="365" t="s">
        <v>526</v>
      </c>
      <c r="D97" s="319">
        <v>10</v>
      </c>
      <c r="E97" s="321">
        <f>E86</f>
        <v>34.950000000000003</v>
      </c>
      <c r="F97" s="312">
        <v>234000</v>
      </c>
      <c r="G97" s="312">
        <f>F97*E97*12</f>
        <v>98139600.000000015</v>
      </c>
      <c r="H97" s="323"/>
      <c r="I97" s="323"/>
      <c r="J97" s="323"/>
      <c r="K97" s="323">
        <f>G97</f>
        <v>98139600.000000015</v>
      </c>
      <c r="L97" s="307"/>
    </row>
    <row r="98" spans="1:12" s="408" customFormat="1" ht="36.75" hidden="1" customHeight="1" x14ac:dyDescent="0.25">
      <c r="A98" s="307" t="s">
        <v>587</v>
      </c>
      <c r="B98" s="427" t="s">
        <v>594</v>
      </c>
      <c r="C98" s="365" t="s">
        <v>526</v>
      </c>
      <c r="D98" s="319">
        <v>2</v>
      </c>
      <c r="E98" s="316"/>
      <c r="F98" s="312">
        <f>2050000+2340000*17%</f>
        <v>2447800</v>
      </c>
      <c r="G98" s="312">
        <f>D98*F98*5</f>
        <v>24478000</v>
      </c>
      <c r="H98" s="323"/>
      <c r="I98" s="323"/>
      <c r="J98" s="323"/>
      <c r="K98" s="323">
        <f t="shared" ref="K98:K110" si="26">G98</f>
        <v>24478000</v>
      </c>
      <c r="L98" s="307"/>
    </row>
    <row r="99" spans="1:12" s="408" customFormat="1" ht="36.75" hidden="1" customHeight="1" x14ac:dyDescent="0.25">
      <c r="A99" s="307" t="s">
        <v>595</v>
      </c>
      <c r="B99" s="427" t="s">
        <v>915</v>
      </c>
      <c r="C99" s="365"/>
      <c r="D99" s="319"/>
      <c r="E99" s="316"/>
      <c r="F99" s="312"/>
      <c r="G99" s="312">
        <v>100000000</v>
      </c>
      <c r="H99" s="323"/>
      <c r="I99" s="323"/>
      <c r="J99" s="323"/>
      <c r="K99" s="323">
        <f>G99</f>
        <v>100000000</v>
      </c>
      <c r="L99" s="307"/>
    </row>
    <row r="100" spans="1:12" s="408" customFormat="1" ht="18.75" hidden="1" customHeight="1" x14ac:dyDescent="0.25">
      <c r="A100" s="409" t="s">
        <v>611</v>
      </c>
      <c r="B100" s="325" t="s">
        <v>575</v>
      </c>
      <c r="C100" s="309"/>
      <c r="D100" s="418"/>
      <c r="E100" s="428"/>
      <c r="F100" s="429"/>
      <c r="G100" s="429">
        <f>G101+G108+G109+G111</f>
        <v>3554000000</v>
      </c>
      <c r="H100" s="429">
        <f t="shared" ref="H100:K100" si="27">H101+H108+H109+H111</f>
        <v>0</v>
      </c>
      <c r="I100" s="429">
        <f t="shared" si="27"/>
        <v>0</v>
      </c>
      <c r="J100" s="429"/>
      <c r="K100" s="429">
        <f t="shared" si="27"/>
        <v>3554000000</v>
      </c>
      <c r="L100" s="307"/>
    </row>
    <row r="101" spans="1:12" s="417" customFormat="1" ht="20.25" hidden="1" customHeight="1" x14ac:dyDescent="0.25">
      <c r="A101" s="411" t="s">
        <v>287</v>
      </c>
      <c r="B101" s="326" t="s">
        <v>165</v>
      </c>
      <c r="C101" s="296"/>
      <c r="D101" s="415"/>
      <c r="E101" s="430"/>
      <c r="F101" s="431"/>
      <c r="G101" s="431">
        <f>SUM(G102:G107)</f>
        <v>2163000000</v>
      </c>
      <c r="H101" s="431">
        <f t="shared" ref="H101:K101" si="28">SUM(H102:H107)</f>
        <v>0</v>
      </c>
      <c r="I101" s="431">
        <f t="shared" si="28"/>
        <v>0</v>
      </c>
      <c r="J101" s="431"/>
      <c r="K101" s="431">
        <f t="shared" si="28"/>
        <v>2163000000</v>
      </c>
      <c r="L101" s="244"/>
    </row>
    <row r="102" spans="1:12" s="408" customFormat="1" ht="32.25" hidden="1" customHeight="1" x14ac:dyDescent="0.25">
      <c r="A102" s="409" t="s">
        <v>74</v>
      </c>
      <c r="B102" s="325" t="s">
        <v>577</v>
      </c>
      <c r="C102" s="309"/>
      <c r="D102" s="418"/>
      <c r="E102" s="428"/>
      <c r="F102" s="429"/>
      <c r="G102" s="429">
        <v>824000000</v>
      </c>
      <c r="H102" s="323"/>
      <c r="I102" s="323"/>
      <c r="J102" s="323"/>
      <c r="K102" s="323">
        <f>G102</f>
        <v>824000000</v>
      </c>
      <c r="L102" s="307"/>
    </row>
    <row r="103" spans="1:12" s="408" customFormat="1" ht="20.25" hidden="1" customHeight="1" x14ac:dyDescent="0.25">
      <c r="A103" s="409" t="s">
        <v>74</v>
      </c>
      <c r="B103" s="325" t="s">
        <v>578</v>
      </c>
      <c r="C103" s="432"/>
      <c r="D103" s="418"/>
      <c r="E103" s="433"/>
      <c r="F103" s="312"/>
      <c r="G103" s="312">
        <v>404000000</v>
      </c>
      <c r="H103" s="323"/>
      <c r="I103" s="323"/>
      <c r="J103" s="323"/>
      <c r="K103" s="323">
        <f t="shared" ref="K103:K107" si="29">G103</f>
        <v>404000000</v>
      </c>
      <c r="L103" s="307"/>
    </row>
    <row r="104" spans="1:12" s="408" customFormat="1" ht="20.25" hidden="1" customHeight="1" x14ac:dyDescent="0.25">
      <c r="A104" s="409" t="s">
        <v>74</v>
      </c>
      <c r="B104" s="325" t="s">
        <v>579</v>
      </c>
      <c r="C104" s="309"/>
      <c r="D104" s="418"/>
      <c r="E104" s="428"/>
      <c r="F104" s="429"/>
      <c r="G104" s="429">
        <v>755000000</v>
      </c>
      <c r="H104" s="323"/>
      <c r="I104" s="323"/>
      <c r="J104" s="323"/>
      <c r="K104" s="323">
        <f t="shared" si="29"/>
        <v>755000000</v>
      </c>
      <c r="L104" s="307"/>
    </row>
    <row r="105" spans="1:12" s="408" customFormat="1" ht="33.75" hidden="1" customHeight="1" x14ac:dyDescent="0.25">
      <c r="A105" s="409" t="s">
        <v>74</v>
      </c>
      <c r="B105" s="325" t="s">
        <v>580</v>
      </c>
      <c r="C105" s="309"/>
      <c r="D105" s="418"/>
      <c r="E105" s="318"/>
      <c r="F105" s="312"/>
      <c r="G105" s="312">
        <v>120000000</v>
      </c>
      <c r="H105" s="323"/>
      <c r="I105" s="323"/>
      <c r="J105" s="323"/>
      <c r="K105" s="323">
        <f t="shared" si="29"/>
        <v>120000000</v>
      </c>
      <c r="L105" s="307"/>
    </row>
    <row r="106" spans="1:12" s="408" customFormat="1" ht="20.25" hidden="1" customHeight="1" x14ac:dyDescent="0.25">
      <c r="A106" s="409" t="s">
        <v>74</v>
      </c>
      <c r="B106" s="412" t="s">
        <v>581</v>
      </c>
      <c r="C106" s="309"/>
      <c r="D106" s="418"/>
      <c r="E106" s="419"/>
      <c r="F106" s="312"/>
      <c r="G106" s="312">
        <v>10000000</v>
      </c>
      <c r="H106" s="323"/>
      <c r="I106" s="323"/>
      <c r="J106" s="323"/>
      <c r="K106" s="323">
        <f t="shared" si="29"/>
        <v>10000000</v>
      </c>
      <c r="L106" s="307"/>
    </row>
    <row r="107" spans="1:12" s="408" customFormat="1" ht="20.25" hidden="1" customHeight="1" x14ac:dyDescent="0.25">
      <c r="A107" s="409" t="s">
        <v>74</v>
      </c>
      <c r="B107" s="412" t="s">
        <v>582</v>
      </c>
      <c r="C107" s="309"/>
      <c r="D107" s="418"/>
      <c r="E107" s="419"/>
      <c r="F107" s="312"/>
      <c r="G107" s="312">
        <v>50000000</v>
      </c>
      <c r="H107" s="323"/>
      <c r="I107" s="323"/>
      <c r="J107" s="323"/>
      <c r="K107" s="323">
        <f t="shared" si="29"/>
        <v>50000000</v>
      </c>
      <c r="L107" s="307"/>
    </row>
    <row r="108" spans="1:12" s="417" customFormat="1" ht="20.25" hidden="1" customHeight="1" x14ac:dyDescent="0.25">
      <c r="A108" s="411" t="s">
        <v>556</v>
      </c>
      <c r="B108" s="326" t="s">
        <v>584</v>
      </c>
      <c r="C108" s="296"/>
      <c r="D108" s="415"/>
      <c r="E108" s="430"/>
      <c r="F108" s="431"/>
      <c r="G108" s="431">
        <v>500000000</v>
      </c>
      <c r="H108" s="329"/>
      <c r="I108" s="329"/>
      <c r="J108" s="329"/>
      <c r="K108" s="329">
        <f t="shared" si="26"/>
        <v>500000000</v>
      </c>
      <c r="L108" s="244"/>
    </row>
    <row r="109" spans="1:12" s="417" customFormat="1" ht="20.25" hidden="1" customHeight="1" x14ac:dyDescent="0.25">
      <c r="A109" s="244" t="s">
        <v>287</v>
      </c>
      <c r="B109" s="413" t="s">
        <v>164</v>
      </c>
      <c r="C109" s="244"/>
      <c r="D109" s="244"/>
      <c r="E109" s="331"/>
      <c r="F109" s="434"/>
      <c r="G109" s="434">
        <f>G110</f>
        <v>821000000</v>
      </c>
      <c r="H109" s="329"/>
      <c r="I109" s="329"/>
      <c r="J109" s="329"/>
      <c r="K109" s="329">
        <f>K110</f>
        <v>821000000</v>
      </c>
      <c r="L109" s="244"/>
    </row>
    <row r="110" spans="1:12" s="408" customFormat="1" ht="31.5" hidden="1" customHeight="1" x14ac:dyDescent="0.25">
      <c r="A110" s="307" t="s">
        <v>74</v>
      </c>
      <c r="B110" s="412" t="s">
        <v>586</v>
      </c>
      <c r="C110" s="309"/>
      <c r="D110" s="418"/>
      <c r="E110" s="419"/>
      <c r="F110" s="312"/>
      <c r="G110" s="312">
        <v>821000000</v>
      </c>
      <c r="H110" s="323"/>
      <c r="I110" s="323"/>
      <c r="J110" s="323"/>
      <c r="K110" s="323">
        <f t="shared" si="26"/>
        <v>821000000</v>
      </c>
      <c r="L110" s="307"/>
    </row>
    <row r="111" spans="1:12" s="417" customFormat="1" ht="22.5" hidden="1" customHeight="1" x14ac:dyDescent="0.25">
      <c r="A111" s="244" t="s">
        <v>287</v>
      </c>
      <c r="B111" s="414" t="s">
        <v>566</v>
      </c>
      <c r="C111" s="296"/>
      <c r="D111" s="415"/>
      <c r="E111" s="416"/>
      <c r="F111" s="330"/>
      <c r="G111" s="330">
        <f>G112</f>
        <v>70000000</v>
      </c>
      <c r="H111" s="329"/>
      <c r="I111" s="329"/>
      <c r="J111" s="329"/>
      <c r="K111" s="329">
        <f>K112</f>
        <v>70000000</v>
      </c>
      <c r="L111" s="244"/>
    </row>
    <row r="112" spans="1:12" s="408" customFormat="1" ht="22.5" hidden="1" customHeight="1" x14ac:dyDescent="0.25">
      <c r="A112" s="307" t="s">
        <v>74</v>
      </c>
      <c r="B112" s="412" t="s">
        <v>588</v>
      </c>
      <c r="C112" s="309"/>
      <c r="D112" s="418"/>
      <c r="E112" s="419"/>
      <c r="F112" s="312"/>
      <c r="G112" s="312">
        <v>70000000</v>
      </c>
      <c r="H112" s="323"/>
      <c r="I112" s="323"/>
      <c r="J112" s="323"/>
      <c r="K112" s="323">
        <f>G112</f>
        <v>70000000</v>
      </c>
      <c r="L112" s="307"/>
    </row>
    <row r="113" spans="1:14" s="437" customFormat="1" ht="26.25" customHeight="1" x14ac:dyDescent="0.25">
      <c r="A113" s="300" t="s">
        <v>31</v>
      </c>
      <c r="B113" s="403" t="s">
        <v>596</v>
      </c>
      <c r="C113" s="302" t="s">
        <v>526</v>
      </c>
      <c r="D113" s="302">
        <v>17</v>
      </c>
      <c r="E113" s="435"/>
      <c r="F113" s="304"/>
      <c r="G113" s="304">
        <f>SUM(G114:G118)</f>
        <v>17403080016</v>
      </c>
      <c r="H113" s="304">
        <f t="shared" ref="H113:K113" si="30">SUM(H114:H118)</f>
        <v>36000000</v>
      </c>
      <c r="I113" s="304">
        <f t="shared" si="30"/>
        <v>42730000</v>
      </c>
      <c r="J113" s="304"/>
      <c r="K113" s="304">
        <f t="shared" si="30"/>
        <v>17324350000</v>
      </c>
      <c r="L113" s="436"/>
      <c r="M113" s="306"/>
      <c r="N113" s="570">
        <f>N114+N115</f>
        <v>17324350000</v>
      </c>
    </row>
    <row r="114" spans="1:14" ht="23.25" customHeight="1" x14ac:dyDescent="0.25">
      <c r="A114" s="307">
        <v>1</v>
      </c>
      <c r="B114" s="308" t="s">
        <v>527</v>
      </c>
      <c r="C114" s="309" t="s">
        <v>526</v>
      </c>
      <c r="D114" s="309">
        <f>D143</f>
        <v>9</v>
      </c>
      <c r="E114" s="310">
        <f>E143</f>
        <v>58.241200000000006</v>
      </c>
      <c r="F114" s="312"/>
      <c r="G114" s="312">
        <f>G143</f>
        <v>1635412896</v>
      </c>
      <c r="H114" s="312"/>
      <c r="I114" s="312"/>
      <c r="J114" s="312"/>
      <c r="K114" s="312">
        <f>G114-H114-I114+104</f>
        <v>1635413000</v>
      </c>
      <c r="L114" s="313"/>
      <c r="M114" s="242" t="s">
        <v>893</v>
      </c>
      <c r="N114" s="293">
        <f>K114+K115+K117+K121+K122+K123+K124+K125+K129+K130+K131+K132+K137+K141+K138</f>
        <v>4672018000</v>
      </c>
    </row>
    <row r="115" spans="1:14" ht="23.25" customHeight="1" x14ac:dyDescent="0.25">
      <c r="A115" s="307">
        <v>2</v>
      </c>
      <c r="B115" s="314" t="s">
        <v>528</v>
      </c>
      <c r="C115" s="309" t="s">
        <v>526</v>
      </c>
      <c r="D115" s="309">
        <f>D154</f>
        <v>9</v>
      </c>
      <c r="E115" s="310"/>
      <c r="F115" s="312">
        <v>40000000</v>
      </c>
      <c r="G115" s="312">
        <f>F115*D115</f>
        <v>360000000</v>
      </c>
      <c r="H115" s="312">
        <f>G115*0.1</f>
        <v>36000000</v>
      </c>
      <c r="I115" s="312">
        <f>I154</f>
        <v>42730000</v>
      </c>
      <c r="J115" s="312"/>
      <c r="K115" s="312">
        <f>G115-H115-I115</f>
        <v>281270000</v>
      </c>
      <c r="L115" s="313"/>
      <c r="M115" s="242" t="s">
        <v>894</v>
      </c>
      <c r="N115" s="293">
        <f>K116+K120+K127+K128+K133+K135+K136+K139</f>
        <v>12652332000</v>
      </c>
    </row>
    <row r="116" spans="1:14" s="408" customFormat="1" ht="33" customHeight="1" x14ac:dyDescent="0.25">
      <c r="A116" s="307">
        <v>3</v>
      </c>
      <c r="B116" s="315" t="s">
        <v>529</v>
      </c>
      <c r="C116" s="309" t="s">
        <v>526</v>
      </c>
      <c r="D116" s="309"/>
      <c r="E116" s="316"/>
      <c r="F116" s="312"/>
      <c r="G116" s="317">
        <f>G157</f>
        <v>131956000</v>
      </c>
      <c r="H116" s="323"/>
      <c r="I116" s="323"/>
      <c r="J116" s="323"/>
      <c r="K116" s="312">
        <f>G116-H116</f>
        <v>131956000</v>
      </c>
      <c r="L116" s="307"/>
    </row>
    <row r="117" spans="1:14" s="408" customFormat="1" ht="23.25" customHeight="1" x14ac:dyDescent="0.25">
      <c r="A117" s="307">
        <v>4</v>
      </c>
      <c r="B117" s="318" t="s">
        <v>531</v>
      </c>
      <c r="C117" s="319" t="s">
        <v>526</v>
      </c>
      <c r="D117" s="319">
        <v>9</v>
      </c>
      <c r="E117" s="321">
        <f>E156</f>
        <v>30.39</v>
      </c>
      <c r="F117" s="444">
        <f t="shared" ref="F117:G117" si="31">F156</f>
        <v>234000</v>
      </c>
      <c r="G117" s="263">
        <f t="shared" si="31"/>
        <v>85335120</v>
      </c>
      <c r="H117" s="323"/>
      <c r="I117" s="323"/>
      <c r="J117" s="323"/>
      <c r="K117" s="312">
        <f>G117-H117-120</f>
        <v>85335000</v>
      </c>
      <c r="L117" s="307"/>
    </row>
    <row r="118" spans="1:14" s="408" customFormat="1" ht="23.25" customHeight="1" x14ac:dyDescent="0.25">
      <c r="A118" s="409">
        <v>5</v>
      </c>
      <c r="B118" s="325" t="s">
        <v>575</v>
      </c>
      <c r="C118" s="309"/>
      <c r="D118" s="309"/>
      <c r="E118" s="410"/>
      <c r="F118" s="323"/>
      <c r="G118" s="323">
        <f>G119+G123+G124+G125+G126+G134+G140</f>
        <v>15190376000</v>
      </c>
      <c r="H118" s="323">
        <f t="shared" ref="H118:K118" si="32">H119+H123+H124+H125+H126+H134+H140</f>
        <v>0</v>
      </c>
      <c r="I118" s="323">
        <f t="shared" si="32"/>
        <v>0</v>
      </c>
      <c r="J118" s="323"/>
      <c r="K118" s="323">
        <f t="shared" si="32"/>
        <v>15190376000</v>
      </c>
      <c r="L118" s="307"/>
    </row>
    <row r="119" spans="1:14" s="408" customFormat="1" ht="23.25" customHeight="1" x14ac:dyDescent="0.25">
      <c r="A119" s="411" t="s">
        <v>576</v>
      </c>
      <c r="B119" s="326" t="s">
        <v>597</v>
      </c>
      <c r="C119" s="296"/>
      <c r="D119" s="415"/>
      <c r="E119" s="430"/>
      <c r="F119" s="431"/>
      <c r="G119" s="329">
        <f>SUM(G120:G122)</f>
        <v>1141000000</v>
      </c>
      <c r="H119" s="329">
        <f t="shared" ref="H119:K119" si="33">SUM(H120:H122)</f>
        <v>0</v>
      </c>
      <c r="I119" s="329">
        <f t="shared" si="33"/>
        <v>0</v>
      </c>
      <c r="J119" s="329"/>
      <c r="K119" s="329">
        <f t="shared" si="33"/>
        <v>1141000000</v>
      </c>
      <c r="L119" s="307"/>
    </row>
    <row r="120" spans="1:14" s="408" customFormat="1" ht="63" customHeight="1" x14ac:dyDescent="0.25">
      <c r="A120" s="409" t="s">
        <v>74</v>
      </c>
      <c r="B120" s="325" t="s">
        <v>598</v>
      </c>
      <c r="C120" s="432"/>
      <c r="D120" s="418"/>
      <c r="E120" s="433"/>
      <c r="F120" s="312"/>
      <c r="G120" s="323">
        <f t="shared" ref="G120:G125" si="34">G162</f>
        <v>81000000</v>
      </c>
      <c r="H120" s="323"/>
      <c r="I120" s="323"/>
      <c r="J120" s="323"/>
      <c r="K120" s="323">
        <f>G120</f>
        <v>81000000</v>
      </c>
      <c r="L120" s="307"/>
    </row>
    <row r="121" spans="1:14" s="408" customFormat="1" ht="23.25" customHeight="1" x14ac:dyDescent="0.25">
      <c r="A121" s="409" t="s">
        <v>74</v>
      </c>
      <c r="B121" s="412" t="s">
        <v>599</v>
      </c>
      <c r="C121" s="309"/>
      <c r="D121" s="418"/>
      <c r="E121" s="419"/>
      <c r="F121" s="312"/>
      <c r="G121" s="323">
        <f t="shared" si="34"/>
        <v>1000000000</v>
      </c>
      <c r="H121" s="323"/>
      <c r="I121" s="323"/>
      <c r="J121" s="323"/>
      <c r="K121" s="323">
        <f t="shared" ref="K121:K122" si="35">G121</f>
        <v>1000000000</v>
      </c>
      <c r="L121" s="307"/>
    </row>
    <row r="122" spans="1:14" s="408" customFormat="1" ht="23.25" customHeight="1" x14ac:dyDescent="0.25">
      <c r="A122" s="409" t="s">
        <v>74</v>
      </c>
      <c r="B122" s="325" t="s">
        <v>600</v>
      </c>
      <c r="C122" s="365" t="s">
        <v>526</v>
      </c>
      <c r="D122" s="319">
        <v>1</v>
      </c>
      <c r="E122" s="316"/>
      <c r="F122" s="312">
        <v>5000000</v>
      </c>
      <c r="G122" s="323">
        <f t="shared" si="34"/>
        <v>60000000</v>
      </c>
      <c r="H122" s="323"/>
      <c r="I122" s="323"/>
      <c r="J122" s="323"/>
      <c r="K122" s="323">
        <f t="shared" si="35"/>
        <v>60000000</v>
      </c>
      <c r="L122" s="307"/>
    </row>
    <row r="123" spans="1:14" s="408" customFormat="1" ht="23.25" customHeight="1" x14ac:dyDescent="0.25">
      <c r="A123" s="411" t="s">
        <v>583</v>
      </c>
      <c r="B123" s="414" t="s">
        <v>601</v>
      </c>
      <c r="C123" s="296"/>
      <c r="D123" s="415"/>
      <c r="E123" s="416"/>
      <c r="F123" s="330"/>
      <c r="G123" s="329">
        <f t="shared" si="34"/>
        <v>300000000</v>
      </c>
      <c r="H123" s="329"/>
      <c r="I123" s="329"/>
      <c r="J123" s="329"/>
      <c r="K123" s="329">
        <f>G123</f>
        <v>300000000</v>
      </c>
      <c r="L123" s="307"/>
    </row>
    <row r="124" spans="1:14" s="408" customFormat="1" ht="23.25" customHeight="1" x14ac:dyDescent="0.25">
      <c r="A124" s="411" t="s">
        <v>585</v>
      </c>
      <c r="B124" s="414" t="s">
        <v>602</v>
      </c>
      <c r="C124" s="296"/>
      <c r="D124" s="415"/>
      <c r="E124" s="416"/>
      <c r="F124" s="330"/>
      <c r="G124" s="329">
        <f t="shared" si="34"/>
        <v>200000000</v>
      </c>
      <c r="H124" s="329"/>
      <c r="I124" s="329"/>
      <c r="J124" s="329"/>
      <c r="K124" s="329">
        <f t="shared" ref="K124:K125" si="36">G124</f>
        <v>200000000</v>
      </c>
      <c r="L124" s="307"/>
    </row>
    <row r="125" spans="1:14" s="408" customFormat="1" ht="23.25" customHeight="1" x14ac:dyDescent="0.25">
      <c r="A125" s="411" t="s">
        <v>587</v>
      </c>
      <c r="B125" s="414" t="s">
        <v>603</v>
      </c>
      <c r="C125" s="296"/>
      <c r="D125" s="415"/>
      <c r="E125" s="416"/>
      <c r="F125" s="330"/>
      <c r="G125" s="329">
        <f t="shared" si="34"/>
        <v>150000000</v>
      </c>
      <c r="H125" s="329"/>
      <c r="I125" s="329"/>
      <c r="J125" s="329"/>
      <c r="K125" s="329">
        <f t="shared" si="36"/>
        <v>150000000</v>
      </c>
      <c r="L125" s="307"/>
    </row>
    <row r="126" spans="1:14" s="408" customFormat="1" ht="23.25" customHeight="1" x14ac:dyDescent="0.25">
      <c r="A126" s="411" t="s">
        <v>595</v>
      </c>
      <c r="B126" s="414" t="s">
        <v>164</v>
      </c>
      <c r="C126" s="296"/>
      <c r="D126" s="415"/>
      <c r="E126" s="416"/>
      <c r="F126" s="330"/>
      <c r="G126" s="329">
        <f>SUM(G127:G133)</f>
        <v>11445000000</v>
      </c>
      <c r="H126" s="329">
        <f t="shared" ref="H126:K126" si="37">SUM(H127:H133)</f>
        <v>0</v>
      </c>
      <c r="I126" s="329">
        <f t="shared" si="37"/>
        <v>0</v>
      </c>
      <c r="J126" s="329"/>
      <c r="K126" s="329">
        <f t="shared" si="37"/>
        <v>11445000000</v>
      </c>
      <c r="L126" s="307"/>
    </row>
    <row r="127" spans="1:14" s="408" customFormat="1" ht="53.25" customHeight="1" x14ac:dyDescent="0.25">
      <c r="A127" s="409" t="s">
        <v>74</v>
      </c>
      <c r="B127" s="325" t="s">
        <v>604</v>
      </c>
      <c r="C127" s="309"/>
      <c r="D127" s="418"/>
      <c r="E127" s="428"/>
      <c r="F127" s="429"/>
      <c r="G127" s="323">
        <f t="shared" ref="G127:G132" si="38">G169</f>
        <v>8871000000</v>
      </c>
      <c r="H127" s="323"/>
      <c r="I127" s="323"/>
      <c r="J127" s="323"/>
      <c r="K127" s="323">
        <f>G127</f>
        <v>8871000000</v>
      </c>
      <c r="L127" s="307"/>
    </row>
    <row r="128" spans="1:14" s="408" customFormat="1" ht="35.25" customHeight="1" x14ac:dyDescent="0.25">
      <c r="A128" s="307" t="s">
        <v>74</v>
      </c>
      <c r="B128" s="438" t="s">
        <v>605</v>
      </c>
      <c r="C128" s="307"/>
      <c r="D128" s="307"/>
      <c r="E128" s="313"/>
      <c r="F128" s="440"/>
      <c r="G128" s="323">
        <f t="shared" si="38"/>
        <v>2280000000</v>
      </c>
      <c r="H128" s="323"/>
      <c r="I128" s="323"/>
      <c r="J128" s="323"/>
      <c r="K128" s="323">
        <f t="shared" ref="K128:K132" si="39">G128</f>
        <v>2280000000</v>
      </c>
      <c r="L128" s="307"/>
    </row>
    <row r="129" spans="1:12" s="408" customFormat="1" ht="35.25" customHeight="1" x14ac:dyDescent="0.25">
      <c r="A129" s="409" t="s">
        <v>74</v>
      </c>
      <c r="B129" s="439" t="s">
        <v>606</v>
      </c>
      <c r="C129" s="307"/>
      <c r="D129" s="307"/>
      <c r="E129" s="313"/>
      <c r="F129" s="440"/>
      <c r="G129" s="323">
        <f t="shared" si="38"/>
        <v>75000000</v>
      </c>
      <c r="H129" s="323"/>
      <c r="I129" s="323"/>
      <c r="J129" s="323"/>
      <c r="K129" s="323">
        <f t="shared" si="39"/>
        <v>75000000</v>
      </c>
      <c r="L129" s="307"/>
    </row>
    <row r="130" spans="1:12" s="408" customFormat="1" ht="35.25" customHeight="1" x14ac:dyDescent="0.25">
      <c r="A130" s="307" t="s">
        <v>74</v>
      </c>
      <c r="B130" s="439" t="s">
        <v>607</v>
      </c>
      <c r="C130" s="307"/>
      <c r="D130" s="307"/>
      <c r="E130" s="313"/>
      <c r="F130" s="440"/>
      <c r="G130" s="323">
        <f t="shared" si="38"/>
        <v>100000000</v>
      </c>
      <c r="H130" s="323"/>
      <c r="I130" s="323"/>
      <c r="J130" s="323"/>
      <c r="K130" s="323">
        <f t="shared" si="39"/>
        <v>100000000</v>
      </c>
      <c r="L130" s="307"/>
    </row>
    <row r="131" spans="1:12" s="408" customFormat="1" ht="56.25" customHeight="1" x14ac:dyDescent="0.25">
      <c r="A131" s="409" t="s">
        <v>74</v>
      </c>
      <c r="B131" s="438" t="s">
        <v>608</v>
      </c>
      <c r="C131" s="307" t="s">
        <v>526</v>
      </c>
      <c r="D131" s="307">
        <v>34</v>
      </c>
      <c r="E131" s="313"/>
      <c r="F131" s="312">
        <v>700000</v>
      </c>
      <c r="G131" s="323">
        <f t="shared" si="38"/>
        <v>24000000</v>
      </c>
      <c r="H131" s="323"/>
      <c r="I131" s="323"/>
      <c r="J131" s="323"/>
      <c r="K131" s="323">
        <f t="shared" si="39"/>
        <v>24000000</v>
      </c>
      <c r="L131" s="307"/>
    </row>
    <row r="132" spans="1:12" s="408" customFormat="1" ht="48.75" customHeight="1" x14ac:dyDescent="0.25">
      <c r="A132" s="307" t="s">
        <v>74</v>
      </c>
      <c r="B132" s="438" t="s">
        <v>609</v>
      </c>
      <c r="C132" s="307"/>
      <c r="D132" s="307"/>
      <c r="E132" s="313"/>
      <c r="F132" s="440"/>
      <c r="G132" s="323">
        <f t="shared" si="38"/>
        <v>25000000</v>
      </c>
      <c r="H132" s="323"/>
      <c r="I132" s="323"/>
      <c r="J132" s="323"/>
      <c r="K132" s="323">
        <f t="shared" si="39"/>
        <v>25000000</v>
      </c>
      <c r="L132" s="307"/>
    </row>
    <row r="133" spans="1:12" s="408" customFormat="1" ht="26.25" customHeight="1" x14ac:dyDescent="0.25">
      <c r="A133" s="307" t="s">
        <v>74</v>
      </c>
      <c r="B133" s="438" t="s">
        <v>610</v>
      </c>
      <c r="C133" s="307"/>
      <c r="D133" s="307"/>
      <c r="E133" s="313"/>
      <c r="F133" s="440"/>
      <c r="G133" s="440">
        <v>70000000</v>
      </c>
      <c r="H133" s="323"/>
      <c r="I133" s="323"/>
      <c r="J133" s="323"/>
      <c r="K133" s="323">
        <f>G133</f>
        <v>70000000</v>
      </c>
      <c r="L133" s="307"/>
    </row>
    <row r="134" spans="1:12" s="408" customFormat="1" ht="23.25" customHeight="1" x14ac:dyDescent="0.25">
      <c r="A134" s="244" t="s">
        <v>611</v>
      </c>
      <c r="B134" s="414" t="s">
        <v>612</v>
      </c>
      <c r="C134" s="296"/>
      <c r="D134" s="415"/>
      <c r="E134" s="416"/>
      <c r="F134" s="330"/>
      <c r="G134" s="329">
        <f>SUM(G135:G139)</f>
        <v>1814376000</v>
      </c>
      <c r="H134" s="329">
        <f t="shared" ref="H134:K134" si="40">SUM(H135:H139)</f>
        <v>0</v>
      </c>
      <c r="I134" s="329">
        <f t="shared" si="40"/>
        <v>0</v>
      </c>
      <c r="J134" s="329"/>
      <c r="K134" s="329">
        <f t="shared" si="40"/>
        <v>1814376000</v>
      </c>
      <c r="L134" s="307"/>
    </row>
    <row r="135" spans="1:12" s="408" customFormat="1" ht="24.75" customHeight="1" x14ac:dyDescent="0.25">
      <c r="A135" s="409" t="s">
        <v>74</v>
      </c>
      <c r="B135" s="325" t="s">
        <v>613</v>
      </c>
      <c r="C135" s="309"/>
      <c r="D135" s="418"/>
      <c r="E135" s="318"/>
      <c r="F135" s="312"/>
      <c r="G135" s="323">
        <f>G177</f>
        <v>884376000</v>
      </c>
      <c r="H135" s="323"/>
      <c r="I135" s="323"/>
      <c r="J135" s="323"/>
      <c r="K135" s="323">
        <f>G135</f>
        <v>884376000</v>
      </c>
      <c r="L135" s="307"/>
    </row>
    <row r="136" spans="1:12" s="408" customFormat="1" ht="53.25" customHeight="1" x14ac:dyDescent="0.25">
      <c r="A136" s="409" t="s">
        <v>74</v>
      </c>
      <c r="B136" s="427" t="s">
        <v>614</v>
      </c>
      <c r="C136" s="309"/>
      <c r="D136" s="418"/>
      <c r="E136" s="318"/>
      <c r="F136" s="312"/>
      <c r="G136" s="323">
        <f>G178</f>
        <v>250000000</v>
      </c>
      <c r="H136" s="323"/>
      <c r="I136" s="323"/>
      <c r="J136" s="323"/>
      <c r="K136" s="323">
        <f t="shared" ref="K136:K139" si="41">G136</f>
        <v>250000000</v>
      </c>
      <c r="L136" s="307"/>
    </row>
    <row r="137" spans="1:12" s="408" customFormat="1" ht="23.25" customHeight="1" x14ac:dyDescent="0.25">
      <c r="A137" s="409" t="s">
        <v>74</v>
      </c>
      <c r="B137" s="412" t="s">
        <v>615</v>
      </c>
      <c r="C137" s="309"/>
      <c r="D137" s="418"/>
      <c r="E137" s="419"/>
      <c r="F137" s="312"/>
      <c r="G137" s="323">
        <f>G179</f>
        <v>466000000</v>
      </c>
      <c r="H137" s="323"/>
      <c r="I137" s="323"/>
      <c r="J137" s="323"/>
      <c r="K137" s="323">
        <f t="shared" si="41"/>
        <v>466000000</v>
      </c>
      <c r="L137" s="307"/>
    </row>
    <row r="138" spans="1:12" s="408" customFormat="1" ht="39" customHeight="1" x14ac:dyDescent="0.25">
      <c r="A138" s="409" t="s">
        <v>74</v>
      </c>
      <c r="B138" s="427" t="s">
        <v>895</v>
      </c>
      <c r="C138" s="365"/>
      <c r="D138" s="319"/>
      <c r="E138" s="316"/>
      <c r="F138" s="312"/>
      <c r="G138" s="323">
        <f>G181+G182+G183</f>
        <v>130000000</v>
      </c>
      <c r="H138" s="323"/>
      <c r="I138" s="323"/>
      <c r="J138" s="323"/>
      <c r="K138" s="323">
        <f t="shared" si="41"/>
        <v>130000000</v>
      </c>
      <c r="L138" s="307"/>
    </row>
    <row r="139" spans="1:12" s="408" customFormat="1" ht="39" customHeight="1" x14ac:dyDescent="0.25">
      <c r="A139" s="409" t="s">
        <v>74</v>
      </c>
      <c r="B139" s="427" t="str">
        <f>B180</f>
        <v>Kinh phí thực hiện xây dựng xã hội học tập theo Nghị quyết số 19/2022/NQ-HĐND của HĐND tỉnh</v>
      </c>
      <c r="C139" s="365"/>
      <c r="D139" s="319"/>
      <c r="E139" s="316"/>
      <c r="F139" s="312"/>
      <c r="G139" s="323">
        <f>G180</f>
        <v>84000000</v>
      </c>
      <c r="H139" s="323"/>
      <c r="I139" s="323"/>
      <c r="J139" s="323"/>
      <c r="K139" s="323">
        <f t="shared" si="41"/>
        <v>84000000</v>
      </c>
      <c r="L139" s="307"/>
    </row>
    <row r="140" spans="1:12" s="417" customFormat="1" ht="23.25" customHeight="1" x14ac:dyDescent="0.25">
      <c r="A140" s="244" t="s">
        <v>616</v>
      </c>
      <c r="B140" s="331" t="s">
        <v>617</v>
      </c>
      <c r="C140" s="296"/>
      <c r="D140" s="244"/>
      <c r="E140" s="416"/>
      <c r="F140" s="434"/>
      <c r="G140" s="329">
        <f>G141</f>
        <v>140000000</v>
      </c>
      <c r="H140" s="329">
        <f t="shared" ref="H140:K140" si="42">H141</f>
        <v>0</v>
      </c>
      <c r="I140" s="329">
        <f t="shared" si="42"/>
        <v>0</v>
      </c>
      <c r="J140" s="329"/>
      <c r="K140" s="329">
        <f t="shared" si="42"/>
        <v>140000000</v>
      </c>
      <c r="L140" s="244"/>
    </row>
    <row r="141" spans="1:12" s="408" customFormat="1" ht="23.25" customHeight="1" x14ac:dyDescent="0.25">
      <c r="A141" s="409" t="s">
        <v>74</v>
      </c>
      <c r="B141" s="325" t="s">
        <v>618</v>
      </c>
      <c r="C141" s="432"/>
      <c r="D141" s="418"/>
      <c r="E141" s="433"/>
      <c r="F141" s="312"/>
      <c r="G141" s="323">
        <f>G185</f>
        <v>140000000</v>
      </c>
      <c r="H141" s="323"/>
      <c r="I141" s="323"/>
      <c r="J141" s="323"/>
      <c r="K141" s="323">
        <f>G141</f>
        <v>140000000</v>
      </c>
      <c r="L141" s="307"/>
    </row>
    <row r="142" spans="1:12" s="339" customFormat="1" ht="20.25" hidden="1" customHeight="1" x14ac:dyDescent="0.25">
      <c r="A142" s="333"/>
      <c r="B142" s="334" t="s">
        <v>619</v>
      </c>
      <c r="C142" s="335"/>
      <c r="D142" s="335">
        <v>17</v>
      </c>
      <c r="E142" s="336"/>
      <c r="F142" s="337"/>
      <c r="G142" s="337">
        <f>G143+G153+G156+G157+G160</f>
        <v>17403080016</v>
      </c>
      <c r="H142" s="337">
        <f>H143+H153+H156+H157+H160</f>
        <v>36000000</v>
      </c>
      <c r="I142" s="337">
        <f>I143+I153+I156+I157+I160</f>
        <v>42730000</v>
      </c>
      <c r="J142" s="337"/>
      <c r="K142" s="337">
        <f>K143+K153+K156+K157+K160</f>
        <v>17324350016</v>
      </c>
      <c r="L142" s="333"/>
    </row>
    <row r="143" spans="1:12" s="408" customFormat="1" ht="18.75" hidden="1" customHeight="1" x14ac:dyDescent="0.25">
      <c r="A143" s="307" t="s">
        <v>576</v>
      </c>
      <c r="B143" s="325" t="s">
        <v>540</v>
      </c>
      <c r="C143" s="309"/>
      <c r="D143" s="309">
        <v>9</v>
      </c>
      <c r="E143" s="310">
        <f>E144</f>
        <v>58.241200000000006</v>
      </c>
      <c r="F143" s="323"/>
      <c r="G143" s="323">
        <f>G144</f>
        <v>1635412896</v>
      </c>
      <c r="H143" s="323"/>
      <c r="I143" s="323"/>
      <c r="J143" s="323"/>
      <c r="K143" s="323">
        <f>K144</f>
        <v>1635412896</v>
      </c>
      <c r="L143" s="307"/>
    </row>
    <row r="144" spans="1:12" s="408" customFormat="1" ht="18.75" hidden="1" customHeight="1" x14ac:dyDescent="0.25">
      <c r="A144" s="307" t="s">
        <v>541</v>
      </c>
      <c r="B144" s="420" t="s">
        <v>542</v>
      </c>
      <c r="C144" s="309"/>
      <c r="D144" s="309">
        <v>9</v>
      </c>
      <c r="E144" s="421">
        <f>SUM(E145:E152)</f>
        <v>58.241200000000006</v>
      </c>
      <c r="F144" s="312"/>
      <c r="G144" s="312">
        <f>SUM(G145:G152)</f>
        <v>1635412896</v>
      </c>
      <c r="H144" s="312">
        <f>SUM(H145:H152)</f>
        <v>0</v>
      </c>
      <c r="I144" s="312"/>
      <c r="J144" s="312"/>
      <c r="K144" s="312">
        <f>SUM(K145:K152)</f>
        <v>1635412896</v>
      </c>
      <c r="L144" s="307"/>
    </row>
    <row r="145" spans="1:12" s="408" customFormat="1" ht="18.75" hidden="1" customHeight="1" x14ac:dyDescent="0.25">
      <c r="A145" s="307" t="s">
        <v>287</v>
      </c>
      <c r="B145" s="325" t="s">
        <v>543</v>
      </c>
      <c r="C145" s="365" t="s">
        <v>526</v>
      </c>
      <c r="D145" s="365">
        <v>9</v>
      </c>
      <c r="E145" s="422">
        <v>30.39</v>
      </c>
      <c r="F145" s="312">
        <v>2340000</v>
      </c>
      <c r="G145" s="312">
        <f>E145*F145*12</f>
        <v>853351200</v>
      </c>
      <c r="H145" s="323"/>
      <c r="I145" s="323"/>
      <c r="J145" s="323"/>
      <c r="K145" s="323">
        <f>G145</f>
        <v>853351200</v>
      </c>
      <c r="L145" s="307"/>
    </row>
    <row r="146" spans="1:12" s="408" customFormat="1" ht="18.75" hidden="1" customHeight="1" x14ac:dyDescent="0.25">
      <c r="A146" s="307" t="s">
        <v>287</v>
      </c>
      <c r="B146" s="325" t="s">
        <v>544</v>
      </c>
      <c r="C146" s="365" t="s">
        <v>526</v>
      </c>
      <c r="D146" s="365">
        <v>2</v>
      </c>
      <c r="E146" s="366">
        <v>0.45</v>
      </c>
      <c r="F146" s="312">
        <v>2340000</v>
      </c>
      <c r="G146" s="312">
        <f t="shared" ref="G146:G152" si="43">E146*F146*12</f>
        <v>12636000</v>
      </c>
      <c r="H146" s="323"/>
      <c r="I146" s="323"/>
      <c r="J146" s="323"/>
      <c r="K146" s="323">
        <f t="shared" ref="K146:K152" si="44">G146</f>
        <v>12636000</v>
      </c>
      <c r="L146" s="307"/>
    </row>
    <row r="147" spans="1:12" s="408" customFormat="1" ht="18.75" hidden="1" customHeight="1" x14ac:dyDescent="0.25">
      <c r="A147" s="307" t="s">
        <v>287</v>
      </c>
      <c r="B147" s="325" t="s">
        <v>546</v>
      </c>
      <c r="C147" s="365" t="s">
        <v>526</v>
      </c>
      <c r="D147" s="365">
        <v>9</v>
      </c>
      <c r="E147" s="366">
        <f>D147*0.7</f>
        <v>6.3</v>
      </c>
      <c r="F147" s="312">
        <v>2340000</v>
      </c>
      <c r="G147" s="312">
        <f t="shared" si="43"/>
        <v>176904000</v>
      </c>
      <c r="H147" s="323"/>
      <c r="I147" s="323"/>
      <c r="J147" s="323"/>
      <c r="K147" s="323">
        <f t="shared" si="44"/>
        <v>176904000</v>
      </c>
      <c r="L147" s="307"/>
    </row>
    <row r="148" spans="1:12" s="408" customFormat="1" ht="18.75" hidden="1" customHeight="1" x14ac:dyDescent="0.25">
      <c r="A148" s="307" t="s">
        <v>556</v>
      </c>
      <c r="B148" s="325" t="s">
        <v>590</v>
      </c>
      <c r="C148" s="365" t="s">
        <v>526</v>
      </c>
      <c r="D148" s="365"/>
      <c r="E148" s="366"/>
      <c r="F148" s="312">
        <v>2340000</v>
      </c>
      <c r="G148" s="312">
        <f t="shared" si="43"/>
        <v>0</v>
      </c>
      <c r="H148" s="323"/>
      <c r="I148" s="323"/>
      <c r="J148" s="323"/>
      <c r="K148" s="323">
        <f t="shared" si="44"/>
        <v>0</v>
      </c>
      <c r="L148" s="307"/>
    </row>
    <row r="149" spans="1:12" s="408" customFormat="1" ht="18.75" hidden="1" customHeight="1" x14ac:dyDescent="0.25">
      <c r="A149" s="307" t="s">
        <v>287</v>
      </c>
      <c r="B149" s="325" t="s">
        <v>548</v>
      </c>
      <c r="C149" s="365" t="s">
        <v>526</v>
      </c>
      <c r="D149" s="365">
        <v>1</v>
      </c>
      <c r="E149" s="423">
        <v>1.869</v>
      </c>
      <c r="F149" s="312">
        <v>2340000</v>
      </c>
      <c r="G149" s="312">
        <f t="shared" si="43"/>
        <v>52481520</v>
      </c>
      <c r="H149" s="323"/>
      <c r="I149" s="323"/>
      <c r="J149" s="323"/>
      <c r="K149" s="323">
        <f t="shared" si="44"/>
        <v>52481520</v>
      </c>
      <c r="L149" s="307"/>
    </row>
    <row r="150" spans="1:12" s="408" customFormat="1" ht="18.75" hidden="1" customHeight="1" x14ac:dyDescent="0.25">
      <c r="A150" s="307" t="s">
        <v>287</v>
      </c>
      <c r="B150" s="325" t="s">
        <v>549</v>
      </c>
      <c r="C150" s="365" t="s">
        <v>526</v>
      </c>
      <c r="D150" s="365">
        <v>8</v>
      </c>
      <c r="E150" s="366">
        <v>5.2</v>
      </c>
      <c r="F150" s="312">
        <v>2340000</v>
      </c>
      <c r="G150" s="312">
        <f t="shared" si="43"/>
        <v>146016000</v>
      </c>
      <c r="H150" s="323"/>
      <c r="I150" s="323"/>
      <c r="J150" s="323"/>
      <c r="K150" s="323">
        <f t="shared" si="44"/>
        <v>146016000</v>
      </c>
      <c r="L150" s="307"/>
    </row>
    <row r="151" spans="1:12" s="408" customFormat="1" ht="18.75" hidden="1" customHeight="1" x14ac:dyDescent="0.25">
      <c r="A151" s="307" t="s">
        <v>287</v>
      </c>
      <c r="B151" s="325" t="s">
        <v>550</v>
      </c>
      <c r="C151" s="365" t="s">
        <v>526</v>
      </c>
      <c r="D151" s="365">
        <v>9</v>
      </c>
      <c r="E151" s="424">
        <f>(E145+E146)*0.25</f>
        <v>7.71</v>
      </c>
      <c r="F151" s="312">
        <v>2340000</v>
      </c>
      <c r="G151" s="312">
        <f t="shared" si="43"/>
        <v>216496800</v>
      </c>
      <c r="H151" s="323"/>
      <c r="I151" s="323"/>
      <c r="J151" s="323"/>
      <c r="K151" s="323">
        <f t="shared" si="44"/>
        <v>216496800</v>
      </c>
      <c r="L151" s="307"/>
    </row>
    <row r="152" spans="1:12" s="408" customFormat="1" ht="18.75" hidden="1" customHeight="1" x14ac:dyDescent="0.25">
      <c r="A152" s="307" t="s">
        <v>287</v>
      </c>
      <c r="B152" s="325" t="s">
        <v>551</v>
      </c>
      <c r="C152" s="365" t="s">
        <v>526</v>
      </c>
      <c r="D152" s="365">
        <v>9</v>
      </c>
      <c r="E152" s="423">
        <f>(E145+E146)*20.5%</f>
        <v>6.3221999999999996</v>
      </c>
      <c r="F152" s="312">
        <v>2340000</v>
      </c>
      <c r="G152" s="312">
        <f t="shared" si="43"/>
        <v>177527375.99999997</v>
      </c>
      <c r="H152" s="323"/>
      <c r="I152" s="323"/>
      <c r="J152" s="323"/>
      <c r="K152" s="323">
        <f t="shared" si="44"/>
        <v>177527375.99999997</v>
      </c>
      <c r="L152" s="307"/>
    </row>
    <row r="153" spans="1:12" s="408" customFormat="1" ht="18.75" hidden="1" customHeight="1" x14ac:dyDescent="0.25">
      <c r="A153" s="307" t="s">
        <v>583</v>
      </c>
      <c r="B153" s="325" t="s">
        <v>591</v>
      </c>
      <c r="C153" s="319"/>
      <c r="D153" s="319">
        <f>D154+D155</f>
        <v>9</v>
      </c>
      <c r="E153" s="316"/>
      <c r="F153" s="312"/>
      <c r="G153" s="425">
        <f>G154+G155</f>
        <v>360000000</v>
      </c>
      <c r="H153" s="425">
        <f t="shared" ref="H153:K153" si="45">H154+H155</f>
        <v>36000000</v>
      </c>
      <c r="I153" s="425">
        <f t="shared" si="45"/>
        <v>42730000</v>
      </c>
      <c r="J153" s="425"/>
      <c r="K153" s="425">
        <f t="shared" si="45"/>
        <v>281270000</v>
      </c>
      <c r="L153" s="307"/>
    </row>
    <row r="154" spans="1:12" s="408" customFormat="1" ht="18.75" hidden="1" customHeight="1" x14ac:dyDescent="0.25">
      <c r="A154" s="426" t="s">
        <v>287</v>
      </c>
      <c r="B154" s="325" t="s">
        <v>592</v>
      </c>
      <c r="C154" s="365" t="s">
        <v>526</v>
      </c>
      <c r="D154" s="319">
        <v>9</v>
      </c>
      <c r="E154" s="316"/>
      <c r="F154" s="312">
        <v>40000000</v>
      </c>
      <c r="G154" s="425">
        <f>F154*D154</f>
        <v>360000000</v>
      </c>
      <c r="H154" s="323">
        <f>G154*0.1</f>
        <v>36000000</v>
      </c>
      <c r="I154" s="356">
        <f>8*710000+1*2340000+1410000+3700000*9</f>
        <v>42730000</v>
      </c>
      <c r="J154" s="356"/>
      <c r="K154" s="323">
        <f>G154-H154-I154</f>
        <v>281270000</v>
      </c>
      <c r="L154" s="307"/>
    </row>
    <row r="155" spans="1:12" s="408" customFormat="1" ht="18.75" hidden="1" customHeight="1" x14ac:dyDescent="0.25">
      <c r="A155" s="426" t="s">
        <v>593</v>
      </c>
      <c r="B155" s="325" t="s">
        <v>557</v>
      </c>
      <c r="C155" s="365" t="s">
        <v>526</v>
      </c>
      <c r="D155" s="319">
        <v>0</v>
      </c>
      <c r="E155" s="316"/>
      <c r="F155" s="312"/>
      <c r="G155" s="312">
        <f>D155*F155+H155</f>
        <v>0</v>
      </c>
      <c r="H155" s="323">
        <f>D155*1200000</f>
        <v>0</v>
      </c>
      <c r="I155" s="323"/>
      <c r="J155" s="323"/>
      <c r="K155" s="323">
        <f>G155-H155</f>
        <v>0</v>
      </c>
      <c r="L155" s="307"/>
    </row>
    <row r="156" spans="1:12" s="408" customFormat="1" ht="30" hidden="1" x14ac:dyDescent="0.25">
      <c r="A156" s="307" t="s">
        <v>585</v>
      </c>
      <c r="B156" s="427" t="s">
        <v>573</v>
      </c>
      <c r="C156" s="365" t="s">
        <v>526</v>
      </c>
      <c r="D156" s="319">
        <v>9</v>
      </c>
      <c r="E156" s="321">
        <f>E145</f>
        <v>30.39</v>
      </c>
      <c r="F156" s="312">
        <v>234000</v>
      </c>
      <c r="G156" s="312">
        <f>F156*E156*12</f>
        <v>85335120</v>
      </c>
      <c r="H156" s="323"/>
      <c r="I156" s="323"/>
      <c r="J156" s="323"/>
      <c r="K156" s="323">
        <f>G156</f>
        <v>85335120</v>
      </c>
      <c r="L156" s="307"/>
    </row>
    <row r="157" spans="1:12" s="408" customFormat="1" ht="18" hidden="1" customHeight="1" x14ac:dyDescent="0.25">
      <c r="A157" s="307" t="s">
        <v>587</v>
      </c>
      <c r="B157" s="427" t="s">
        <v>620</v>
      </c>
      <c r="C157" s="365"/>
      <c r="D157" s="319"/>
      <c r="E157" s="316"/>
      <c r="F157" s="312"/>
      <c r="G157" s="312">
        <f>G158+G159</f>
        <v>131956000</v>
      </c>
      <c r="H157" s="312">
        <f t="shared" ref="H157:K157" si="46">H158+H159</f>
        <v>0</v>
      </c>
      <c r="I157" s="312">
        <f t="shared" si="46"/>
        <v>0</v>
      </c>
      <c r="J157" s="312"/>
      <c r="K157" s="312">
        <f t="shared" si="46"/>
        <v>131956000</v>
      </c>
      <c r="L157" s="307"/>
    </row>
    <row r="158" spans="1:12" s="408" customFormat="1" ht="37.5" hidden="1" customHeight="1" x14ac:dyDescent="0.25">
      <c r="A158" s="307" t="s">
        <v>287</v>
      </c>
      <c r="B158" s="427" t="s">
        <v>621</v>
      </c>
      <c r="C158" s="365" t="s">
        <v>526</v>
      </c>
      <c r="D158" s="319">
        <v>4</v>
      </c>
      <c r="E158" s="316"/>
      <c r="F158" s="312">
        <f>2000000+2340000*17%</f>
        <v>2397800</v>
      </c>
      <c r="G158" s="312">
        <f>D158*F158*5</f>
        <v>47956000</v>
      </c>
      <c r="H158" s="323"/>
      <c r="I158" s="323"/>
      <c r="J158" s="323"/>
      <c r="K158" s="323">
        <f>G158</f>
        <v>47956000</v>
      </c>
      <c r="L158" s="307"/>
    </row>
    <row r="159" spans="1:12" s="408" customFormat="1" ht="18" hidden="1" customHeight="1" x14ac:dyDescent="0.25">
      <c r="A159" s="307" t="s">
        <v>287</v>
      </c>
      <c r="B159" s="427" t="s">
        <v>622</v>
      </c>
      <c r="C159" s="365" t="s">
        <v>526</v>
      </c>
      <c r="D159" s="319">
        <v>28</v>
      </c>
      <c r="E159" s="316"/>
      <c r="F159" s="312">
        <v>250000</v>
      </c>
      <c r="G159" s="312">
        <f>D159*F159*12</f>
        <v>84000000</v>
      </c>
      <c r="H159" s="323"/>
      <c r="I159" s="323"/>
      <c r="J159" s="323"/>
      <c r="K159" s="323">
        <f>G159</f>
        <v>84000000</v>
      </c>
      <c r="L159" s="307"/>
    </row>
    <row r="160" spans="1:12" s="408" customFormat="1" ht="18.75" hidden="1" customHeight="1" x14ac:dyDescent="0.25">
      <c r="A160" s="409" t="s">
        <v>595</v>
      </c>
      <c r="B160" s="325" t="s">
        <v>575</v>
      </c>
      <c r="C160" s="309"/>
      <c r="D160" s="418"/>
      <c r="E160" s="428"/>
      <c r="F160" s="429"/>
      <c r="G160" s="429">
        <f>G161+G165+G166+G167+G168+G176+G184</f>
        <v>15190376000</v>
      </c>
      <c r="H160" s="429">
        <f t="shared" ref="H160:K160" si="47">H161+H165+H166+H167+H168+H176+H184</f>
        <v>0</v>
      </c>
      <c r="I160" s="429">
        <f t="shared" si="47"/>
        <v>0</v>
      </c>
      <c r="J160" s="429"/>
      <c r="K160" s="429">
        <f t="shared" si="47"/>
        <v>15190376000</v>
      </c>
      <c r="L160" s="307"/>
    </row>
    <row r="161" spans="1:12" s="417" customFormat="1" ht="20.25" hidden="1" customHeight="1" x14ac:dyDescent="0.25">
      <c r="A161" s="411" t="s">
        <v>287</v>
      </c>
      <c r="B161" s="326" t="s">
        <v>597</v>
      </c>
      <c r="C161" s="296"/>
      <c r="D161" s="415"/>
      <c r="E161" s="430"/>
      <c r="F161" s="431"/>
      <c r="G161" s="431">
        <f>SUM(G162:G164)</f>
        <v>1141000000</v>
      </c>
      <c r="H161" s="431">
        <f t="shared" ref="H161:K161" si="48">SUM(H162:H164)</f>
        <v>0</v>
      </c>
      <c r="I161" s="431">
        <f t="shared" si="48"/>
        <v>0</v>
      </c>
      <c r="J161" s="431"/>
      <c r="K161" s="431">
        <f t="shared" si="48"/>
        <v>1141000000</v>
      </c>
      <c r="L161" s="244"/>
    </row>
    <row r="162" spans="1:12" s="408" customFormat="1" ht="60" hidden="1" x14ac:dyDescent="0.25">
      <c r="A162" s="409" t="s">
        <v>74</v>
      </c>
      <c r="B162" s="325" t="s">
        <v>598</v>
      </c>
      <c r="C162" s="432"/>
      <c r="D162" s="418"/>
      <c r="E162" s="433"/>
      <c r="F162" s="312"/>
      <c r="G162" s="312">
        <v>81000000</v>
      </c>
      <c r="H162" s="323"/>
      <c r="I162" s="323"/>
      <c r="J162" s="323"/>
      <c r="K162" s="323">
        <f t="shared" ref="K162" si="49">G162</f>
        <v>81000000</v>
      </c>
      <c r="L162" s="307"/>
    </row>
    <row r="163" spans="1:12" s="408" customFormat="1" ht="23.25" hidden="1" customHeight="1" x14ac:dyDescent="0.25">
      <c r="A163" s="409" t="s">
        <v>74</v>
      </c>
      <c r="B163" s="412" t="s">
        <v>599</v>
      </c>
      <c r="C163" s="309"/>
      <c r="D163" s="418"/>
      <c r="E163" s="419"/>
      <c r="F163" s="312"/>
      <c r="G163" s="312">
        <v>1000000000</v>
      </c>
      <c r="H163" s="323"/>
      <c r="I163" s="323"/>
      <c r="J163" s="323"/>
      <c r="K163" s="323">
        <f>G163</f>
        <v>1000000000</v>
      </c>
      <c r="L163" s="307"/>
    </row>
    <row r="164" spans="1:12" s="408" customFormat="1" ht="23.25" hidden="1" customHeight="1" x14ac:dyDescent="0.25">
      <c r="A164" s="409" t="s">
        <v>74</v>
      </c>
      <c r="B164" s="325" t="s">
        <v>600</v>
      </c>
      <c r="C164" s="365" t="s">
        <v>526</v>
      </c>
      <c r="D164" s="319">
        <v>1</v>
      </c>
      <c r="E164" s="316"/>
      <c r="F164" s="312">
        <v>5000000</v>
      </c>
      <c r="G164" s="312">
        <f>D164*F164*12</f>
        <v>60000000</v>
      </c>
      <c r="H164" s="323"/>
      <c r="I164" s="323"/>
      <c r="J164" s="323"/>
      <c r="K164" s="323">
        <f t="shared" ref="K164:K172" si="50">G164</f>
        <v>60000000</v>
      </c>
      <c r="L164" s="307"/>
    </row>
    <row r="165" spans="1:12" s="417" customFormat="1" ht="23.25" hidden="1" customHeight="1" x14ac:dyDescent="0.25">
      <c r="A165" s="411" t="s">
        <v>287</v>
      </c>
      <c r="B165" s="414" t="s">
        <v>601</v>
      </c>
      <c r="C165" s="296"/>
      <c r="D165" s="415"/>
      <c r="E165" s="416"/>
      <c r="F165" s="330"/>
      <c r="G165" s="330">
        <v>300000000</v>
      </c>
      <c r="H165" s="329"/>
      <c r="I165" s="329"/>
      <c r="J165" s="329"/>
      <c r="K165" s="329">
        <f t="shared" si="50"/>
        <v>300000000</v>
      </c>
      <c r="L165" s="244"/>
    </row>
    <row r="166" spans="1:12" s="417" customFormat="1" ht="23.25" hidden="1" customHeight="1" x14ac:dyDescent="0.25">
      <c r="A166" s="411" t="s">
        <v>287</v>
      </c>
      <c r="B166" s="414" t="s">
        <v>602</v>
      </c>
      <c r="C166" s="296"/>
      <c r="D166" s="415"/>
      <c r="E166" s="416"/>
      <c r="F166" s="330"/>
      <c r="G166" s="330">
        <v>200000000</v>
      </c>
      <c r="H166" s="329"/>
      <c r="I166" s="329"/>
      <c r="J166" s="329"/>
      <c r="K166" s="329">
        <f t="shared" si="50"/>
        <v>200000000</v>
      </c>
      <c r="L166" s="244"/>
    </row>
    <row r="167" spans="1:12" s="417" customFormat="1" ht="23.25" hidden="1" customHeight="1" x14ac:dyDescent="0.25">
      <c r="A167" s="411" t="s">
        <v>287</v>
      </c>
      <c r="B167" s="414" t="s">
        <v>603</v>
      </c>
      <c r="C167" s="296"/>
      <c r="D167" s="415"/>
      <c r="E167" s="416"/>
      <c r="F167" s="330"/>
      <c r="G167" s="330">
        <v>150000000</v>
      </c>
      <c r="H167" s="329"/>
      <c r="I167" s="329"/>
      <c r="J167" s="329"/>
      <c r="K167" s="329">
        <f t="shared" si="50"/>
        <v>150000000</v>
      </c>
      <c r="L167" s="244"/>
    </row>
    <row r="168" spans="1:12" s="417" customFormat="1" ht="23.25" hidden="1" customHeight="1" x14ac:dyDescent="0.25">
      <c r="A168" s="411" t="s">
        <v>287</v>
      </c>
      <c r="B168" s="414" t="s">
        <v>164</v>
      </c>
      <c r="C168" s="296"/>
      <c r="D168" s="415"/>
      <c r="E168" s="416"/>
      <c r="F168" s="330"/>
      <c r="G168" s="330">
        <f>SUM(G169:G175)</f>
        <v>11445000000</v>
      </c>
      <c r="H168" s="330">
        <f t="shared" ref="H168:K168" si="51">SUM(H169:H175)</f>
        <v>0</v>
      </c>
      <c r="I168" s="330">
        <f t="shared" si="51"/>
        <v>0</v>
      </c>
      <c r="J168" s="330"/>
      <c r="K168" s="330">
        <f t="shared" si="51"/>
        <v>11445000000</v>
      </c>
      <c r="L168" s="244"/>
    </row>
    <row r="169" spans="1:12" s="408" customFormat="1" ht="34.5" hidden="1" customHeight="1" x14ac:dyDescent="0.25">
      <c r="A169" s="409" t="s">
        <v>74</v>
      </c>
      <c r="B169" s="325" t="s">
        <v>623</v>
      </c>
      <c r="C169" s="309"/>
      <c r="D169" s="418"/>
      <c r="E169" s="428"/>
      <c r="F169" s="429"/>
      <c r="G169" s="429">
        <v>8871000000</v>
      </c>
      <c r="H169" s="323"/>
      <c r="I169" s="323"/>
      <c r="J169" s="323"/>
      <c r="K169" s="323">
        <f t="shared" si="50"/>
        <v>8871000000</v>
      </c>
      <c r="L169" s="307"/>
    </row>
    <row r="170" spans="1:12" s="408" customFormat="1" ht="33.75" hidden="1" customHeight="1" x14ac:dyDescent="0.25">
      <c r="A170" s="307" t="s">
        <v>74</v>
      </c>
      <c r="B170" s="438" t="s">
        <v>605</v>
      </c>
      <c r="C170" s="307"/>
      <c r="D170" s="307"/>
      <c r="E170" s="313"/>
      <c r="F170" s="440"/>
      <c r="G170" s="440">
        <v>2280000000</v>
      </c>
      <c r="H170" s="323"/>
      <c r="I170" s="323"/>
      <c r="J170" s="323"/>
      <c r="K170" s="323">
        <f t="shared" si="50"/>
        <v>2280000000</v>
      </c>
      <c r="L170" s="307"/>
    </row>
    <row r="171" spans="1:12" s="408" customFormat="1" ht="33.75" hidden="1" customHeight="1" x14ac:dyDescent="0.25">
      <c r="A171" s="409" t="s">
        <v>74</v>
      </c>
      <c r="B171" s="439" t="s">
        <v>606</v>
      </c>
      <c r="C171" s="307"/>
      <c r="D171" s="307"/>
      <c r="E171" s="313"/>
      <c r="F171" s="440"/>
      <c r="G171" s="440">
        <v>75000000</v>
      </c>
      <c r="H171" s="323"/>
      <c r="I171" s="323"/>
      <c r="J171" s="323"/>
      <c r="K171" s="323">
        <f t="shared" si="50"/>
        <v>75000000</v>
      </c>
      <c r="L171" s="307"/>
    </row>
    <row r="172" spans="1:12" s="408" customFormat="1" ht="33.75" hidden="1" customHeight="1" x14ac:dyDescent="0.25">
      <c r="A172" s="307" t="s">
        <v>74</v>
      </c>
      <c r="B172" s="439" t="s">
        <v>607</v>
      </c>
      <c r="C172" s="307"/>
      <c r="D172" s="307"/>
      <c r="E172" s="313"/>
      <c r="F172" s="440"/>
      <c r="G172" s="440">
        <v>100000000</v>
      </c>
      <c r="H172" s="323"/>
      <c r="I172" s="323"/>
      <c r="J172" s="323"/>
      <c r="K172" s="323">
        <f t="shared" si="50"/>
        <v>100000000</v>
      </c>
      <c r="L172" s="307"/>
    </row>
    <row r="173" spans="1:12" s="408" customFormat="1" ht="54" hidden="1" customHeight="1" x14ac:dyDescent="0.25">
      <c r="A173" s="409" t="s">
        <v>74</v>
      </c>
      <c r="B173" s="438" t="s">
        <v>608</v>
      </c>
      <c r="C173" s="307" t="s">
        <v>526</v>
      </c>
      <c r="D173" s="307">
        <v>34</v>
      </c>
      <c r="E173" s="313"/>
      <c r="F173" s="312">
        <v>700000</v>
      </c>
      <c r="G173" s="440">
        <f>F173*D173+200000</f>
        <v>24000000</v>
      </c>
      <c r="H173" s="323"/>
      <c r="I173" s="323"/>
      <c r="J173" s="323"/>
      <c r="K173" s="323">
        <f>G173</f>
        <v>24000000</v>
      </c>
      <c r="L173" s="307"/>
    </row>
    <row r="174" spans="1:12" s="408" customFormat="1" ht="45" hidden="1" x14ac:dyDescent="0.25">
      <c r="A174" s="307" t="s">
        <v>74</v>
      </c>
      <c r="B174" s="438" t="s">
        <v>609</v>
      </c>
      <c r="C174" s="307"/>
      <c r="D174" s="307"/>
      <c r="E174" s="313"/>
      <c r="F174" s="440"/>
      <c r="G174" s="440">
        <v>25000000</v>
      </c>
      <c r="H174" s="323"/>
      <c r="I174" s="323"/>
      <c r="J174" s="323"/>
      <c r="K174" s="323">
        <f>G174</f>
        <v>25000000</v>
      </c>
      <c r="L174" s="307"/>
    </row>
    <row r="175" spans="1:12" s="408" customFormat="1" ht="26.25" hidden="1" customHeight="1" x14ac:dyDescent="0.25">
      <c r="A175" s="307" t="s">
        <v>74</v>
      </c>
      <c r="B175" s="438" t="s">
        <v>610</v>
      </c>
      <c r="C175" s="307"/>
      <c r="D175" s="307"/>
      <c r="E175" s="313"/>
      <c r="F175" s="440"/>
      <c r="G175" s="440">
        <v>70000000</v>
      </c>
      <c r="H175" s="323"/>
      <c r="I175" s="323"/>
      <c r="J175" s="323"/>
      <c r="K175" s="323">
        <f>G175</f>
        <v>70000000</v>
      </c>
      <c r="L175" s="307"/>
    </row>
    <row r="176" spans="1:12" s="417" customFormat="1" ht="23.25" hidden="1" customHeight="1" x14ac:dyDescent="0.25">
      <c r="A176" s="244" t="s">
        <v>287</v>
      </c>
      <c r="B176" s="414" t="s">
        <v>612</v>
      </c>
      <c r="C176" s="296"/>
      <c r="D176" s="415"/>
      <c r="E176" s="416"/>
      <c r="F176" s="330"/>
      <c r="G176" s="330">
        <f>SUM(G177:G183)</f>
        <v>1814376000</v>
      </c>
      <c r="H176" s="330">
        <f t="shared" ref="H176:K176" si="52">SUM(H177:H183)</f>
        <v>0</v>
      </c>
      <c r="I176" s="330">
        <f t="shared" si="52"/>
        <v>0</v>
      </c>
      <c r="J176" s="330"/>
      <c r="K176" s="330">
        <f t="shared" si="52"/>
        <v>1814376000</v>
      </c>
      <c r="L176" s="244"/>
    </row>
    <row r="177" spans="1:14" s="408" customFormat="1" ht="33.75" hidden="1" customHeight="1" x14ac:dyDescent="0.25">
      <c r="A177" s="409" t="s">
        <v>74</v>
      </c>
      <c r="B177" s="325" t="s">
        <v>624</v>
      </c>
      <c r="C177" s="309"/>
      <c r="D177" s="418"/>
      <c r="E177" s="318"/>
      <c r="F177" s="312"/>
      <c r="G177" s="312">
        <v>884376000</v>
      </c>
      <c r="H177" s="323"/>
      <c r="I177" s="323"/>
      <c r="J177" s="323"/>
      <c r="K177" s="323">
        <f>G177</f>
        <v>884376000</v>
      </c>
      <c r="L177" s="307"/>
    </row>
    <row r="178" spans="1:14" s="408" customFormat="1" ht="53.25" hidden="1" customHeight="1" x14ac:dyDescent="0.25">
      <c r="A178" s="409" t="s">
        <v>74</v>
      </c>
      <c r="B178" s="427" t="s">
        <v>614</v>
      </c>
      <c r="C178" s="309"/>
      <c r="D178" s="418"/>
      <c r="E178" s="318"/>
      <c r="F178" s="312"/>
      <c r="G178" s="312">
        <v>250000000</v>
      </c>
      <c r="H178" s="323"/>
      <c r="I178" s="323"/>
      <c r="J178" s="323"/>
      <c r="K178" s="323">
        <f>G178</f>
        <v>250000000</v>
      </c>
      <c r="L178" s="307"/>
    </row>
    <row r="179" spans="1:14" s="408" customFormat="1" ht="20.25" hidden="1" customHeight="1" x14ac:dyDescent="0.25">
      <c r="A179" s="409" t="s">
        <v>74</v>
      </c>
      <c r="B179" s="412" t="s">
        <v>615</v>
      </c>
      <c r="C179" s="309"/>
      <c r="D179" s="418"/>
      <c r="E179" s="419"/>
      <c r="F179" s="312"/>
      <c r="G179" s="312">
        <f>I398+203960000</f>
        <v>466000000</v>
      </c>
      <c r="H179" s="323"/>
      <c r="I179" s="323"/>
      <c r="J179" s="323"/>
      <c r="K179" s="323">
        <f>G179</f>
        <v>466000000</v>
      </c>
      <c r="L179" s="307"/>
    </row>
    <row r="180" spans="1:14" s="442" customFormat="1" ht="36" hidden="1" customHeight="1" x14ac:dyDescent="0.25">
      <c r="A180" s="409" t="s">
        <v>74</v>
      </c>
      <c r="B180" s="427" t="s">
        <v>830</v>
      </c>
      <c r="C180" s="365"/>
      <c r="D180" s="319"/>
      <c r="E180" s="316"/>
      <c r="F180" s="312"/>
      <c r="G180" s="312">
        <v>84000000</v>
      </c>
      <c r="H180" s="647"/>
      <c r="I180" s="647"/>
      <c r="J180" s="647"/>
      <c r="K180" s="323">
        <f t="shared" ref="K180:K183" si="53">G180</f>
        <v>84000000</v>
      </c>
      <c r="L180" s="441"/>
    </row>
    <row r="181" spans="1:14" s="442" customFormat="1" ht="21.75" hidden="1" customHeight="1" x14ac:dyDescent="0.25">
      <c r="A181" s="409" t="s">
        <v>74</v>
      </c>
      <c r="B181" s="427" t="s">
        <v>625</v>
      </c>
      <c r="C181" s="319"/>
      <c r="D181" s="319"/>
      <c r="E181" s="316"/>
      <c r="F181" s="312"/>
      <c r="G181" s="312">
        <v>40000000</v>
      </c>
      <c r="H181" s="647"/>
      <c r="I181" s="647"/>
      <c r="J181" s="647"/>
      <c r="K181" s="323">
        <f t="shared" si="53"/>
        <v>40000000</v>
      </c>
      <c r="L181" s="441"/>
    </row>
    <row r="182" spans="1:14" s="442" customFormat="1" ht="45" hidden="1" x14ac:dyDescent="0.25">
      <c r="A182" s="409" t="s">
        <v>74</v>
      </c>
      <c r="B182" s="412" t="s">
        <v>626</v>
      </c>
      <c r="C182" s="309"/>
      <c r="D182" s="443"/>
      <c r="E182" s="419"/>
      <c r="F182" s="312"/>
      <c r="G182" s="312">
        <v>50000000</v>
      </c>
      <c r="H182" s="647"/>
      <c r="I182" s="647"/>
      <c r="J182" s="647"/>
      <c r="K182" s="323">
        <f t="shared" si="53"/>
        <v>50000000</v>
      </c>
      <c r="L182" s="441"/>
    </row>
    <row r="183" spans="1:14" s="442" customFormat="1" ht="38.25" hidden="1" customHeight="1" x14ac:dyDescent="0.25">
      <c r="A183" s="409" t="s">
        <v>74</v>
      </c>
      <c r="B183" s="313" t="s">
        <v>627</v>
      </c>
      <c r="C183" s="309"/>
      <c r="D183" s="319"/>
      <c r="E183" s="419"/>
      <c r="F183" s="444"/>
      <c r="G183" s="312">
        <v>40000000</v>
      </c>
      <c r="H183" s="647"/>
      <c r="I183" s="647"/>
      <c r="J183" s="647"/>
      <c r="K183" s="323">
        <f t="shared" si="53"/>
        <v>40000000</v>
      </c>
      <c r="L183" s="441"/>
    </row>
    <row r="184" spans="1:14" s="446" customFormat="1" ht="20.25" hidden="1" customHeight="1" x14ac:dyDescent="0.25">
      <c r="A184" s="244" t="s">
        <v>287</v>
      </c>
      <c r="B184" s="331" t="s">
        <v>617</v>
      </c>
      <c r="C184" s="296"/>
      <c r="D184" s="244"/>
      <c r="E184" s="416"/>
      <c r="F184" s="434"/>
      <c r="G184" s="330">
        <f>G185</f>
        <v>140000000</v>
      </c>
      <c r="H184" s="648"/>
      <c r="I184" s="648"/>
      <c r="J184" s="648"/>
      <c r="K184" s="330">
        <f>K185</f>
        <v>140000000</v>
      </c>
      <c r="L184" s="445"/>
    </row>
    <row r="185" spans="1:14" s="408" customFormat="1" ht="20.25" hidden="1" customHeight="1" x14ac:dyDescent="0.25">
      <c r="A185" s="409" t="s">
        <v>74</v>
      </c>
      <c r="B185" s="325" t="s">
        <v>618</v>
      </c>
      <c r="C185" s="432"/>
      <c r="D185" s="418"/>
      <c r="E185" s="433"/>
      <c r="F185" s="312"/>
      <c r="G185" s="312">
        <v>140000000</v>
      </c>
      <c r="H185" s="323"/>
      <c r="I185" s="323"/>
      <c r="J185" s="323"/>
      <c r="K185" s="323">
        <f>G185</f>
        <v>140000000</v>
      </c>
      <c r="L185" s="307"/>
    </row>
    <row r="186" spans="1:14" s="437" customFormat="1" ht="25.5" customHeight="1" x14ac:dyDescent="0.25">
      <c r="A186" s="447" t="s">
        <v>33</v>
      </c>
      <c r="B186" s="448" t="s">
        <v>198</v>
      </c>
      <c r="C186" s="449" t="s">
        <v>526</v>
      </c>
      <c r="D186" s="449">
        <v>8</v>
      </c>
      <c r="E186" s="450">
        <f>E196</f>
        <v>0</v>
      </c>
      <c r="F186" s="451"/>
      <c r="G186" s="451">
        <f>SUM(G187:G190)</f>
        <v>1419486780</v>
      </c>
      <c r="H186" s="451">
        <f t="shared" ref="H186:K186" si="54">SUM(H187:H190)</f>
        <v>24000000</v>
      </c>
      <c r="I186" s="451">
        <f t="shared" si="54"/>
        <v>29500000</v>
      </c>
      <c r="J186" s="451"/>
      <c r="K186" s="451">
        <f t="shared" si="54"/>
        <v>1365987000</v>
      </c>
      <c r="L186" s="436"/>
      <c r="M186" s="306"/>
      <c r="N186" s="570">
        <f>N187+N188</f>
        <v>1365987000</v>
      </c>
    </row>
    <row r="187" spans="1:14" ht="25.5" customHeight="1" x14ac:dyDescent="0.25">
      <c r="A187" s="307">
        <v>1</v>
      </c>
      <c r="B187" s="412" t="s">
        <v>527</v>
      </c>
      <c r="C187" s="309" t="s">
        <v>526</v>
      </c>
      <c r="D187" s="365">
        <f>D197</f>
        <v>6</v>
      </c>
      <c r="E187" s="366">
        <f>E197</f>
        <v>38.525999999999996</v>
      </c>
      <c r="F187" s="425"/>
      <c r="G187" s="425">
        <f>G196</f>
        <v>1059942780</v>
      </c>
      <c r="H187" s="425"/>
      <c r="I187" s="425"/>
      <c r="J187" s="425"/>
      <c r="K187" s="425">
        <f>G187+220</f>
        <v>1059943000</v>
      </c>
      <c r="L187" s="313"/>
      <c r="M187" s="242" t="s">
        <v>893</v>
      </c>
      <c r="N187" s="293">
        <f>K187+K188+K189+K190</f>
        <v>1365987000</v>
      </c>
    </row>
    <row r="188" spans="1:14" ht="25.5" customHeight="1" x14ac:dyDescent="0.25">
      <c r="A188" s="307">
        <v>2</v>
      </c>
      <c r="B188" s="412" t="s">
        <v>528</v>
      </c>
      <c r="C188" s="309" t="s">
        <v>526</v>
      </c>
      <c r="D188" s="365">
        <f>D187</f>
        <v>6</v>
      </c>
      <c r="E188" s="366"/>
      <c r="F188" s="425">
        <v>40000000</v>
      </c>
      <c r="G188" s="425">
        <f>G207</f>
        <v>240000000</v>
      </c>
      <c r="H188" s="425">
        <f t="shared" ref="H188:I188" si="55">H207</f>
        <v>24000000</v>
      </c>
      <c r="I188" s="425">
        <f t="shared" si="55"/>
        <v>29500000</v>
      </c>
      <c r="J188" s="425"/>
      <c r="K188" s="425">
        <f>G188-H188-I188</f>
        <v>186500000</v>
      </c>
      <c r="L188" s="313"/>
      <c r="M188" s="242" t="s">
        <v>894</v>
      </c>
      <c r="N188" s="293">
        <v>0</v>
      </c>
    </row>
    <row r="189" spans="1:14" ht="25.5" customHeight="1" x14ac:dyDescent="0.25">
      <c r="A189" s="307">
        <v>3</v>
      </c>
      <c r="B189" s="325" t="s">
        <v>531</v>
      </c>
      <c r="C189" s="309" t="s">
        <v>526</v>
      </c>
      <c r="D189" s="365">
        <f>D187</f>
        <v>6</v>
      </c>
      <c r="E189" s="366">
        <f>E210</f>
        <v>18</v>
      </c>
      <c r="F189" s="425">
        <v>234000</v>
      </c>
      <c r="G189" s="425">
        <f>G210</f>
        <v>50544000</v>
      </c>
      <c r="H189" s="425"/>
      <c r="I189" s="425"/>
      <c r="J189" s="425"/>
      <c r="K189" s="425">
        <f>G189</f>
        <v>50544000</v>
      </c>
      <c r="L189" s="313"/>
    </row>
    <row r="190" spans="1:14" ht="25.5" customHeight="1" x14ac:dyDescent="0.25">
      <c r="A190" s="307">
        <v>4</v>
      </c>
      <c r="B190" s="325" t="s">
        <v>628</v>
      </c>
      <c r="C190" s="365"/>
      <c r="D190" s="365"/>
      <c r="E190" s="366"/>
      <c r="F190" s="425"/>
      <c r="G190" s="425">
        <f>SUM(G191:G194)</f>
        <v>69000000</v>
      </c>
      <c r="H190" s="425"/>
      <c r="I190" s="425"/>
      <c r="J190" s="425"/>
      <c r="K190" s="425">
        <f>K211</f>
        <v>69000000</v>
      </c>
      <c r="L190" s="313"/>
    </row>
    <row r="191" spans="1:14" ht="25.5" customHeight="1" x14ac:dyDescent="0.25">
      <c r="A191" s="307" t="s">
        <v>287</v>
      </c>
      <c r="B191" s="452" t="s">
        <v>629</v>
      </c>
      <c r="C191" s="453" t="s">
        <v>630</v>
      </c>
      <c r="D191" s="307">
        <v>1</v>
      </c>
      <c r="E191" s="313"/>
      <c r="F191" s="323">
        <v>21000000</v>
      </c>
      <c r="G191" s="425">
        <f>G212</f>
        <v>21000000</v>
      </c>
      <c r="H191" s="425"/>
      <c r="I191" s="425"/>
      <c r="J191" s="425"/>
      <c r="K191" s="425">
        <f>G191</f>
        <v>21000000</v>
      </c>
      <c r="L191" s="313"/>
    </row>
    <row r="192" spans="1:14" ht="40.5" customHeight="1" x14ac:dyDescent="0.25">
      <c r="A192" s="307" t="s">
        <v>287</v>
      </c>
      <c r="B192" s="452" t="s">
        <v>631</v>
      </c>
      <c r="C192" s="453" t="s">
        <v>630</v>
      </c>
      <c r="D192" s="454">
        <v>1</v>
      </c>
      <c r="E192" s="455"/>
      <c r="F192" s="456">
        <v>25000000</v>
      </c>
      <c r="G192" s="425">
        <f t="shared" ref="G192:G193" si="56">G213</f>
        <v>25000000</v>
      </c>
      <c r="H192" s="425"/>
      <c r="I192" s="425"/>
      <c r="J192" s="425"/>
      <c r="K192" s="425">
        <f t="shared" ref="K192:K194" si="57">G192</f>
        <v>25000000</v>
      </c>
      <c r="L192" s="313"/>
    </row>
    <row r="193" spans="1:12" ht="24" customHeight="1" x14ac:dyDescent="0.25">
      <c r="A193" s="307" t="s">
        <v>287</v>
      </c>
      <c r="B193" s="452" t="s">
        <v>632</v>
      </c>
      <c r="C193" s="453" t="s">
        <v>630</v>
      </c>
      <c r="D193" s="454">
        <v>2</v>
      </c>
      <c r="E193" s="455"/>
      <c r="F193" s="457">
        <v>9000000</v>
      </c>
      <c r="G193" s="425">
        <f t="shared" si="56"/>
        <v>18000000</v>
      </c>
      <c r="H193" s="425"/>
      <c r="I193" s="425"/>
      <c r="J193" s="425"/>
      <c r="K193" s="425">
        <f t="shared" si="57"/>
        <v>18000000</v>
      </c>
      <c r="L193" s="313"/>
    </row>
    <row r="194" spans="1:12" ht="24" customHeight="1" x14ac:dyDescent="0.25">
      <c r="A194" s="307" t="s">
        <v>287</v>
      </c>
      <c r="B194" s="315" t="s">
        <v>633</v>
      </c>
      <c r="C194" s="453" t="s">
        <v>535</v>
      </c>
      <c r="D194" s="454">
        <v>1</v>
      </c>
      <c r="E194" s="455"/>
      <c r="F194" s="456">
        <v>5000000</v>
      </c>
      <c r="G194" s="425">
        <f>G221</f>
        <v>5000000</v>
      </c>
      <c r="H194" s="425"/>
      <c r="I194" s="425"/>
      <c r="J194" s="425"/>
      <c r="K194" s="425">
        <f t="shared" si="57"/>
        <v>5000000</v>
      </c>
      <c r="L194" s="313"/>
    </row>
    <row r="195" spans="1:12" s="339" customFormat="1" ht="25.5" hidden="1" customHeight="1" x14ac:dyDescent="0.25">
      <c r="A195" s="333"/>
      <c r="B195" s="334" t="s">
        <v>634</v>
      </c>
      <c r="C195" s="335"/>
      <c r="D195" s="335">
        <v>8</v>
      </c>
      <c r="E195" s="336"/>
      <c r="F195" s="337"/>
      <c r="G195" s="337">
        <f>G196+G207+G210+G211</f>
        <v>1419486780</v>
      </c>
      <c r="H195" s="337">
        <f t="shared" ref="H195:K195" si="58">H196+H207+H210+H211</f>
        <v>24000000</v>
      </c>
      <c r="I195" s="337">
        <f t="shared" si="58"/>
        <v>29500000</v>
      </c>
      <c r="J195" s="337"/>
      <c r="K195" s="337">
        <f t="shared" si="58"/>
        <v>1365986780</v>
      </c>
      <c r="L195" s="333"/>
    </row>
    <row r="196" spans="1:12" ht="21.75" hidden="1" customHeight="1" x14ac:dyDescent="0.25">
      <c r="A196" s="307" t="s">
        <v>576</v>
      </c>
      <c r="B196" s="458" t="s">
        <v>635</v>
      </c>
      <c r="C196" s="309"/>
      <c r="D196" s="309">
        <v>6</v>
      </c>
      <c r="E196" s="419"/>
      <c r="F196" s="312"/>
      <c r="G196" s="312">
        <f>G197</f>
        <v>1059942780</v>
      </c>
      <c r="H196" s="312">
        <f t="shared" ref="H196:K196" si="59">H197</f>
        <v>0</v>
      </c>
      <c r="I196" s="312"/>
      <c r="J196" s="312"/>
      <c r="K196" s="312">
        <f t="shared" si="59"/>
        <v>1059942780</v>
      </c>
      <c r="L196" s="313"/>
    </row>
    <row r="197" spans="1:12" ht="21.75" hidden="1" customHeight="1" x14ac:dyDescent="0.25">
      <c r="A197" s="307" t="s">
        <v>541</v>
      </c>
      <c r="B197" s="458" t="s">
        <v>636</v>
      </c>
      <c r="C197" s="309"/>
      <c r="D197" s="309">
        <v>6</v>
      </c>
      <c r="E197" s="419">
        <f>SUM(E198:E206)</f>
        <v>38.525999999999996</v>
      </c>
      <c r="F197" s="312"/>
      <c r="G197" s="312">
        <f>SUM(G198:G206)</f>
        <v>1059942780</v>
      </c>
      <c r="H197" s="312">
        <f t="shared" ref="H197" si="60">SUM(H198:H206)</f>
        <v>0</v>
      </c>
      <c r="I197" s="312"/>
      <c r="J197" s="312"/>
      <c r="K197" s="312">
        <f>SUM(K198:K206)</f>
        <v>1059942780</v>
      </c>
      <c r="L197" s="313"/>
    </row>
    <row r="198" spans="1:12" ht="21.75" hidden="1" customHeight="1" x14ac:dyDescent="0.25">
      <c r="A198" s="307" t="s">
        <v>287</v>
      </c>
      <c r="B198" s="315" t="s">
        <v>543</v>
      </c>
      <c r="C198" s="365" t="s">
        <v>526</v>
      </c>
      <c r="D198" s="459">
        <v>6</v>
      </c>
      <c r="E198" s="366">
        <v>18</v>
      </c>
      <c r="F198" s="312">
        <v>2340000</v>
      </c>
      <c r="G198" s="312">
        <f>E198*F198*12</f>
        <v>505440000</v>
      </c>
      <c r="H198" s="440"/>
      <c r="I198" s="440"/>
      <c r="J198" s="440"/>
      <c r="K198" s="440">
        <f t="shared" ref="K198:K206" si="61">G198</f>
        <v>505440000</v>
      </c>
      <c r="L198" s="313"/>
    </row>
    <row r="199" spans="1:12" ht="21.75" hidden="1" customHeight="1" x14ac:dyDescent="0.25">
      <c r="A199" s="307" t="s">
        <v>287</v>
      </c>
      <c r="B199" s="315" t="s">
        <v>544</v>
      </c>
      <c r="C199" s="365" t="s">
        <v>526</v>
      </c>
      <c r="D199" s="459">
        <v>1</v>
      </c>
      <c r="E199" s="366">
        <v>0.2</v>
      </c>
      <c r="F199" s="312">
        <v>2340000</v>
      </c>
      <c r="G199" s="312">
        <f t="shared" ref="G199:G206" si="62">E199*F199*12</f>
        <v>5616000</v>
      </c>
      <c r="H199" s="440"/>
      <c r="I199" s="440"/>
      <c r="J199" s="440"/>
      <c r="K199" s="440">
        <f t="shared" si="61"/>
        <v>5616000</v>
      </c>
      <c r="L199" s="313"/>
    </row>
    <row r="200" spans="1:12" ht="21.75" hidden="1" customHeight="1" x14ac:dyDescent="0.25">
      <c r="A200" s="307" t="s">
        <v>287</v>
      </c>
      <c r="B200" s="315" t="s">
        <v>637</v>
      </c>
      <c r="C200" s="365" t="s">
        <v>526</v>
      </c>
      <c r="D200" s="459"/>
      <c r="E200" s="366"/>
      <c r="F200" s="312"/>
      <c r="G200" s="312">
        <f t="shared" si="62"/>
        <v>0</v>
      </c>
      <c r="H200" s="440"/>
      <c r="I200" s="440"/>
      <c r="J200" s="440"/>
      <c r="K200" s="440">
        <f t="shared" si="61"/>
        <v>0</v>
      </c>
      <c r="L200" s="313"/>
    </row>
    <row r="201" spans="1:12" ht="21.75" hidden="1" customHeight="1" x14ac:dyDescent="0.25">
      <c r="A201" s="307" t="s">
        <v>287</v>
      </c>
      <c r="B201" s="315" t="s">
        <v>546</v>
      </c>
      <c r="C201" s="365" t="s">
        <v>526</v>
      </c>
      <c r="D201" s="459">
        <v>6</v>
      </c>
      <c r="E201" s="366">
        <f>D201*0.7</f>
        <v>4.1999999999999993</v>
      </c>
      <c r="F201" s="312">
        <v>2340000</v>
      </c>
      <c r="G201" s="312">
        <f t="shared" si="62"/>
        <v>117935999.99999997</v>
      </c>
      <c r="H201" s="440"/>
      <c r="I201" s="440"/>
      <c r="J201" s="440"/>
      <c r="K201" s="440">
        <f t="shared" si="61"/>
        <v>117935999.99999997</v>
      </c>
      <c r="L201" s="313"/>
    </row>
    <row r="202" spans="1:12" ht="21.75" hidden="1" customHeight="1" x14ac:dyDescent="0.25">
      <c r="A202" s="307" t="s">
        <v>287</v>
      </c>
      <c r="B202" s="315" t="s">
        <v>547</v>
      </c>
      <c r="C202" s="365" t="s">
        <v>526</v>
      </c>
      <c r="D202" s="459">
        <v>0</v>
      </c>
      <c r="E202" s="366">
        <v>0</v>
      </c>
      <c r="F202" s="312">
        <v>2340000</v>
      </c>
      <c r="G202" s="312">
        <f t="shared" si="62"/>
        <v>0</v>
      </c>
      <c r="H202" s="440"/>
      <c r="I202" s="440"/>
      <c r="J202" s="440"/>
      <c r="K202" s="440">
        <f t="shared" si="61"/>
        <v>0</v>
      </c>
      <c r="L202" s="313"/>
    </row>
    <row r="203" spans="1:12" ht="21.75" hidden="1" customHeight="1" x14ac:dyDescent="0.25">
      <c r="A203" s="307" t="s">
        <v>287</v>
      </c>
      <c r="B203" s="315" t="s">
        <v>548</v>
      </c>
      <c r="C203" s="365" t="s">
        <v>526</v>
      </c>
      <c r="D203" s="459">
        <v>3</v>
      </c>
      <c r="E203" s="423">
        <v>5.1449999999999996</v>
      </c>
      <c r="F203" s="312">
        <v>2340000</v>
      </c>
      <c r="G203" s="312">
        <f>E203*F203*12-1.869*2340000*5</f>
        <v>122604299.99999997</v>
      </c>
      <c r="H203" s="440"/>
      <c r="I203" s="440"/>
      <c r="J203" s="440"/>
      <c r="K203" s="440">
        <f t="shared" si="61"/>
        <v>122604299.99999997</v>
      </c>
      <c r="L203" s="313"/>
    </row>
    <row r="204" spans="1:12" ht="21.75" hidden="1" customHeight="1" x14ac:dyDescent="0.25">
      <c r="A204" s="307" t="s">
        <v>287</v>
      </c>
      <c r="B204" s="315" t="s">
        <v>549</v>
      </c>
      <c r="C204" s="365" t="s">
        <v>526</v>
      </c>
      <c r="D204" s="459">
        <v>4</v>
      </c>
      <c r="E204" s="366">
        <v>2.7</v>
      </c>
      <c r="F204" s="312">
        <v>2340000</v>
      </c>
      <c r="G204" s="312">
        <f t="shared" si="62"/>
        <v>75816000</v>
      </c>
      <c r="H204" s="440"/>
      <c r="I204" s="440"/>
      <c r="J204" s="440"/>
      <c r="K204" s="440">
        <f t="shared" si="61"/>
        <v>75816000</v>
      </c>
      <c r="L204" s="313"/>
    </row>
    <row r="205" spans="1:12" ht="21.75" hidden="1" customHeight="1" x14ac:dyDescent="0.25">
      <c r="A205" s="307" t="s">
        <v>287</v>
      </c>
      <c r="B205" s="315" t="s">
        <v>550</v>
      </c>
      <c r="C205" s="365" t="s">
        <v>526</v>
      </c>
      <c r="D205" s="459">
        <v>6</v>
      </c>
      <c r="E205" s="424">
        <f>(E198+E199)*0.25</f>
        <v>4.55</v>
      </c>
      <c r="F205" s="312">
        <v>2340000</v>
      </c>
      <c r="G205" s="312">
        <f t="shared" si="62"/>
        <v>127764000</v>
      </c>
      <c r="H205" s="440"/>
      <c r="I205" s="440"/>
      <c r="J205" s="440"/>
      <c r="K205" s="440">
        <f t="shared" si="61"/>
        <v>127764000</v>
      </c>
      <c r="L205" s="313"/>
    </row>
    <row r="206" spans="1:12" ht="21.75" hidden="1" customHeight="1" x14ac:dyDescent="0.25">
      <c r="A206" s="307" t="s">
        <v>287</v>
      </c>
      <c r="B206" s="315" t="s">
        <v>551</v>
      </c>
      <c r="C206" s="365" t="s">
        <v>526</v>
      </c>
      <c r="D206" s="459">
        <v>6</v>
      </c>
      <c r="E206" s="366">
        <f>+(E198+E199)*0.205</f>
        <v>3.7309999999999994</v>
      </c>
      <c r="F206" s="312">
        <v>2340000</v>
      </c>
      <c r="G206" s="312">
        <f t="shared" si="62"/>
        <v>104766479.99999997</v>
      </c>
      <c r="H206" s="440"/>
      <c r="I206" s="440"/>
      <c r="J206" s="440"/>
      <c r="K206" s="440">
        <f t="shared" si="61"/>
        <v>104766479.99999997</v>
      </c>
      <c r="L206" s="313"/>
    </row>
    <row r="207" spans="1:12" ht="21.75" hidden="1" customHeight="1" x14ac:dyDescent="0.25">
      <c r="A207" s="307" t="s">
        <v>583</v>
      </c>
      <c r="B207" s="315" t="s">
        <v>591</v>
      </c>
      <c r="C207" s="319"/>
      <c r="D207" s="320"/>
      <c r="E207" s="316"/>
      <c r="F207" s="444"/>
      <c r="G207" s="425">
        <f>G208+G209</f>
        <v>240000000</v>
      </c>
      <c r="H207" s="425">
        <f t="shared" ref="H207:K207" si="63">H208+H209</f>
        <v>24000000</v>
      </c>
      <c r="I207" s="425">
        <f t="shared" si="63"/>
        <v>29500000</v>
      </c>
      <c r="J207" s="425"/>
      <c r="K207" s="425">
        <f t="shared" si="63"/>
        <v>186500000</v>
      </c>
      <c r="L207" s="313"/>
    </row>
    <row r="208" spans="1:12" ht="21.75" hidden="1" customHeight="1" x14ac:dyDescent="0.25">
      <c r="A208" s="426" t="s">
        <v>287</v>
      </c>
      <c r="B208" s="325" t="s">
        <v>592</v>
      </c>
      <c r="C208" s="365" t="s">
        <v>526</v>
      </c>
      <c r="D208" s="320">
        <f>D198</f>
        <v>6</v>
      </c>
      <c r="E208" s="316"/>
      <c r="F208" s="312">
        <v>40000000</v>
      </c>
      <c r="G208" s="312">
        <f>F208*D208</f>
        <v>240000000</v>
      </c>
      <c r="H208" s="440">
        <f>G208*10%</f>
        <v>24000000</v>
      </c>
      <c r="I208" s="356">
        <f>5*710000+1*2340000+1410000+3700000*6</f>
        <v>29500000</v>
      </c>
      <c r="J208" s="356"/>
      <c r="K208" s="440">
        <f>G208-H208-I208</f>
        <v>186500000</v>
      </c>
      <c r="L208" s="313"/>
    </row>
    <row r="209" spans="1:14" ht="21.75" hidden="1" customHeight="1" x14ac:dyDescent="0.25">
      <c r="A209" s="426" t="s">
        <v>556</v>
      </c>
      <c r="B209" s="325" t="s">
        <v>557</v>
      </c>
      <c r="C209" s="365"/>
      <c r="D209" s="320"/>
      <c r="E209" s="316"/>
      <c r="F209" s="312"/>
      <c r="G209" s="312"/>
      <c r="H209" s="312"/>
      <c r="I209" s="312"/>
      <c r="J209" s="312"/>
      <c r="K209" s="312">
        <f>G209-H209</f>
        <v>0</v>
      </c>
      <c r="L209" s="313"/>
    </row>
    <row r="210" spans="1:14" ht="21.75" hidden="1" customHeight="1" x14ac:dyDescent="0.25">
      <c r="A210" s="307" t="s">
        <v>585</v>
      </c>
      <c r="B210" s="427" t="s">
        <v>638</v>
      </c>
      <c r="C210" s="365" t="s">
        <v>526</v>
      </c>
      <c r="D210" s="320">
        <f>D208</f>
        <v>6</v>
      </c>
      <c r="E210" s="460">
        <f>E198</f>
        <v>18</v>
      </c>
      <c r="F210" s="312">
        <v>234000</v>
      </c>
      <c r="G210" s="312">
        <f>F210*E210*12</f>
        <v>50544000</v>
      </c>
      <c r="H210" s="440"/>
      <c r="I210" s="440"/>
      <c r="J210" s="440"/>
      <c r="K210" s="440">
        <f>G210</f>
        <v>50544000</v>
      </c>
      <c r="L210" s="313"/>
    </row>
    <row r="211" spans="1:14" ht="21.75" hidden="1" customHeight="1" x14ac:dyDescent="0.25">
      <c r="A211" s="307" t="s">
        <v>587</v>
      </c>
      <c r="B211" s="315" t="s">
        <v>628</v>
      </c>
      <c r="C211" s="365"/>
      <c r="D211" s="319"/>
      <c r="E211" s="316"/>
      <c r="F211" s="312"/>
      <c r="G211" s="440">
        <f>SUM(G212:G221)</f>
        <v>69000000</v>
      </c>
      <c r="H211" s="440">
        <f>SUM(H212:H221)</f>
        <v>0</v>
      </c>
      <c r="I211" s="440"/>
      <c r="J211" s="440"/>
      <c r="K211" s="440">
        <f>SUM(K212:K221)</f>
        <v>69000000</v>
      </c>
      <c r="L211" s="313"/>
    </row>
    <row r="212" spans="1:14" s="238" customFormat="1" ht="21.75" hidden="1" customHeight="1" x14ac:dyDescent="0.25">
      <c r="A212" s="461" t="s">
        <v>287</v>
      </c>
      <c r="B212" s="462" t="s">
        <v>629</v>
      </c>
      <c r="C212" s="463" t="s">
        <v>630</v>
      </c>
      <c r="D212" s="461">
        <v>1</v>
      </c>
      <c r="E212" s="464"/>
      <c r="F212" s="649">
        <v>21000000</v>
      </c>
      <c r="G212" s="650">
        <f>F212*D212</f>
        <v>21000000</v>
      </c>
      <c r="H212" s="651"/>
      <c r="I212" s="651"/>
      <c r="J212" s="651"/>
      <c r="K212" s="651">
        <f>G212</f>
        <v>21000000</v>
      </c>
      <c r="L212" s="465"/>
    </row>
    <row r="213" spans="1:14" s="238" customFormat="1" ht="35.25" hidden="1" customHeight="1" x14ac:dyDescent="0.25">
      <c r="A213" s="461" t="s">
        <v>287</v>
      </c>
      <c r="B213" s="462" t="s">
        <v>631</v>
      </c>
      <c r="C213" s="463" t="s">
        <v>630</v>
      </c>
      <c r="D213" s="466">
        <v>1</v>
      </c>
      <c r="E213" s="467"/>
      <c r="F213" s="468">
        <v>25000000</v>
      </c>
      <c r="G213" s="465">
        <f>F213*D213</f>
        <v>25000000</v>
      </c>
      <c r="H213" s="465"/>
      <c r="I213" s="465"/>
      <c r="J213" s="465"/>
      <c r="K213" s="465">
        <f>G213</f>
        <v>25000000</v>
      </c>
      <c r="L213" s="465"/>
    </row>
    <row r="214" spans="1:14" s="238" customFormat="1" ht="23.25" hidden="1" customHeight="1" x14ac:dyDescent="0.25">
      <c r="A214" s="461" t="s">
        <v>287</v>
      </c>
      <c r="B214" s="462" t="s">
        <v>632</v>
      </c>
      <c r="C214" s="463" t="s">
        <v>630</v>
      </c>
      <c r="D214" s="466">
        <v>2</v>
      </c>
      <c r="E214" s="467"/>
      <c r="F214" s="469">
        <v>9000000</v>
      </c>
      <c r="G214" s="465">
        <f>D214*F214</f>
        <v>18000000</v>
      </c>
      <c r="H214" s="465"/>
      <c r="I214" s="465"/>
      <c r="J214" s="465"/>
      <c r="K214" s="465">
        <f>G214</f>
        <v>18000000</v>
      </c>
      <c r="L214" s="465"/>
    </row>
    <row r="215" spans="1:14" s="238" customFormat="1" ht="29.25" hidden="1" customHeight="1" x14ac:dyDescent="0.25">
      <c r="A215" s="470" t="s">
        <v>287</v>
      </c>
      <c r="B215" s="462" t="s">
        <v>639</v>
      </c>
      <c r="C215" s="463" t="s">
        <v>526</v>
      </c>
      <c r="D215" s="466">
        <v>8</v>
      </c>
      <c r="E215" s="467"/>
      <c r="F215" s="468">
        <v>5000000</v>
      </c>
      <c r="G215" s="465"/>
      <c r="H215" s="465"/>
      <c r="I215" s="465"/>
      <c r="J215" s="465"/>
      <c r="K215" s="465">
        <f>G215</f>
        <v>0</v>
      </c>
      <c r="L215" s="465" t="s">
        <v>640</v>
      </c>
    </row>
    <row r="216" spans="1:14" s="238" customFormat="1" ht="21.75" hidden="1" customHeight="1" x14ac:dyDescent="0.25">
      <c r="A216" s="461" t="s">
        <v>287</v>
      </c>
      <c r="B216" s="462" t="s">
        <v>641</v>
      </c>
      <c r="C216" s="463" t="s">
        <v>535</v>
      </c>
      <c r="D216" s="466">
        <v>1</v>
      </c>
      <c r="E216" s="467"/>
      <c r="F216" s="468">
        <v>880000</v>
      </c>
      <c r="G216" s="465"/>
      <c r="H216" s="465"/>
      <c r="I216" s="465"/>
      <c r="J216" s="465"/>
      <c r="K216" s="465"/>
      <c r="L216" s="921" t="s">
        <v>642</v>
      </c>
    </row>
    <row r="217" spans="1:14" s="238" customFormat="1" ht="37.5" hidden="1" customHeight="1" x14ac:dyDescent="0.25">
      <c r="A217" s="461" t="s">
        <v>287</v>
      </c>
      <c r="B217" s="462" t="s">
        <v>643</v>
      </c>
      <c r="C217" s="471" t="s">
        <v>644</v>
      </c>
      <c r="D217" s="466">
        <v>8</v>
      </c>
      <c r="E217" s="467"/>
      <c r="F217" s="468">
        <v>299000</v>
      </c>
      <c r="G217" s="465"/>
      <c r="H217" s="465"/>
      <c r="I217" s="465"/>
      <c r="J217" s="465"/>
      <c r="K217" s="465">
        <f>G217</f>
        <v>0</v>
      </c>
      <c r="L217" s="922"/>
    </row>
    <row r="218" spans="1:14" s="238" customFormat="1" ht="21.75" hidden="1" customHeight="1" x14ac:dyDescent="0.25">
      <c r="A218" s="461" t="s">
        <v>287</v>
      </c>
      <c r="B218" s="462" t="s">
        <v>645</v>
      </c>
      <c r="C218" s="472" t="s">
        <v>560</v>
      </c>
      <c r="D218" s="466">
        <v>12</v>
      </c>
      <c r="E218" s="467"/>
      <c r="F218" s="468">
        <v>660000</v>
      </c>
      <c r="G218" s="465"/>
      <c r="H218" s="465"/>
      <c r="I218" s="465"/>
      <c r="J218" s="465"/>
      <c r="K218" s="465">
        <f>G218</f>
        <v>0</v>
      </c>
      <c r="L218" s="922"/>
    </row>
    <row r="219" spans="1:14" s="238" customFormat="1" ht="21.75" hidden="1" customHeight="1" x14ac:dyDescent="0.25">
      <c r="A219" s="461" t="s">
        <v>287</v>
      </c>
      <c r="B219" s="473" t="s">
        <v>646</v>
      </c>
      <c r="C219" s="463" t="s">
        <v>560</v>
      </c>
      <c r="D219" s="466">
        <v>12</v>
      </c>
      <c r="E219" s="467"/>
      <c r="F219" s="468">
        <v>80000</v>
      </c>
      <c r="G219" s="465"/>
      <c r="H219" s="465"/>
      <c r="I219" s="465"/>
      <c r="J219" s="465"/>
      <c r="K219" s="652">
        <f>G219</f>
        <v>0</v>
      </c>
      <c r="L219" s="922"/>
    </row>
    <row r="220" spans="1:14" s="238" customFormat="1" ht="21.75" hidden="1" customHeight="1" x14ac:dyDescent="0.25">
      <c r="A220" s="461" t="s">
        <v>287</v>
      </c>
      <c r="B220" s="473" t="s">
        <v>647</v>
      </c>
      <c r="C220" s="463" t="s">
        <v>535</v>
      </c>
      <c r="D220" s="466">
        <v>1</v>
      </c>
      <c r="E220" s="467"/>
      <c r="F220" s="468">
        <v>2500000</v>
      </c>
      <c r="G220" s="468"/>
      <c r="H220" s="465"/>
      <c r="I220" s="465"/>
      <c r="J220" s="465"/>
      <c r="K220" s="468"/>
      <c r="L220" s="923"/>
    </row>
    <row r="221" spans="1:14" s="238" customFormat="1" ht="30" hidden="1" customHeight="1" x14ac:dyDescent="0.25">
      <c r="A221" s="461" t="s">
        <v>287</v>
      </c>
      <c r="B221" s="474" t="s">
        <v>633</v>
      </c>
      <c r="C221" s="463" t="s">
        <v>535</v>
      </c>
      <c r="D221" s="466">
        <v>1</v>
      </c>
      <c r="E221" s="467"/>
      <c r="F221" s="468">
        <v>5000000</v>
      </c>
      <c r="G221" s="468">
        <v>5000000</v>
      </c>
      <c r="H221" s="465"/>
      <c r="I221" s="465"/>
      <c r="J221" s="465"/>
      <c r="K221" s="468">
        <v>5000000</v>
      </c>
      <c r="L221" s="465" t="s">
        <v>648</v>
      </c>
    </row>
    <row r="222" spans="1:14" s="510" customFormat="1" ht="24" customHeight="1" x14ac:dyDescent="0.25">
      <c r="A222" s="502" t="s">
        <v>7</v>
      </c>
      <c r="B222" s="503" t="s">
        <v>649</v>
      </c>
      <c r="C222" s="682" t="s">
        <v>526</v>
      </c>
      <c r="D222" s="683">
        <f>D223+D263+D298</f>
        <v>19</v>
      </c>
      <c r="E222" s="684">
        <f>E223+E263+E298</f>
        <v>0</v>
      </c>
      <c r="F222" s="654"/>
      <c r="G222" s="654">
        <f>G223+G263+G298</f>
        <v>7322275804.6399994</v>
      </c>
      <c r="H222" s="654">
        <f>H223+H263+H298</f>
        <v>76000000</v>
      </c>
      <c r="I222" s="654">
        <f>I223+I263+I298</f>
        <v>108110000</v>
      </c>
      <c r="J222" s="654"/>
      <c r="K222" s="654">
        <f>K223+K263+K298</f>
        <v>7138166000</v>
      </c>
      <c r="L222" s="681"/>
    </row>
    <row r="223" spans="1:14" s="306" customFormat="1" ht="24" customHeight="1" x14ac:dyDescent="0.25">
      <c r="A223" s="300" t="s">
        <v>23</v>
      </c>
      <c r="B223" s="475" t="s">
        <v>201</v>
      </c>
      <c r="C223" s="449" t="s">
        <v>526</v>
      </c>
      <c r="D223" s="302">
        <v>8</v>
      </c>
      <c r="E223" s="475"/>
      <c r="F223" s="304"/>
      <c r="G223" s="304">
        <f>SUM(G224:G227)+G231+G232+G233</f>
        <v>4094472692</v>
      </c>
      <c r="H223" s="304">
        <f t="shared" ref="H223:K223" si="64">SUM(H224:H227)+H231+H232+H233</f>
        <v>32000000</v>
      </c>
      <c r="I223" s="304">
        <f t="shared" si="64"/>
        <v>44720000</v>
      </c>
      <c r="J223" s="304"/>
      <c r="K223" s="304">
        <f t="shared" si="64"/>
        <v>4017752000</v>
      </c>
      <c r="L223" s="305"/>
      <c r="N223" s="570">
        <f>N224+N225</f>
        <v>4017752000</v>
      </c>
    </row>
    <row r="224" spans="1:14" ht="22.5" customHeight="1" x14ac:dyDescent="0.25">
      <c r="A224" s="307">
        <v>1</v>
      </c>
      <c r="B224" s="308" t="s">
        <v>527</v>
      </c>
      <c r="C224" s="309" t="s">
        <v>526</v>
      </c>
      <c r="D224" s="309">
        <v>8</v>
      </c>
      <c r="E224" s="310"/>
      <c r="F224" s="312"/>
      <c r="G224" s="312">
        <f>G236</f>
        <v>1785274452</v>
      </c>
      <c r="H224" s="312">
        <f>H247</f>
        <v>0</v>
      </c>
      <c r="I224" s="312"/>
      <c r="J224" s="312"/>
      <c r="K224" s="312">
        <f>G224-452</f>
        <v>1785274000</v>
      </c>
      <c r="L224" s="313"/>
      <c r="M224" s="242" t="s">
        <v>893</v>
      </c>
      <c r="N224" s="293">
        <f>K224+K225+K226+K228+K229+K231+K232+K233</f>
        <v>3111291000</v>
      </c>
    </row>
    <row r="225" spans="1:14" ht="30.75" customHeight="1" x14ac:dyDescent="0.25">
      <c r="A225" s="307">
        <v>2</v>
      </c>
      <c r="B225" s="308" t="s">
        <v>528</v>
      </c>
      <c r="C225" s="309" t="s">
        <v>526</v>
      </c>
      <c r="D225" s="309">
        <v>8</v>
      </c>
      <c r="E225" s="310"/>
      <c r="F225" s="312">
        <v>40000000</v>
      </c>
      <c r="G225" s="312">
        <f>F225*D225</f>
        <v>320000000</v>
      </c>
      <c r="H225" s="312">
        <f>G225*10%</f>
        <v>32000000</v>
      </c>
      <c r="I225" s="317">
        <f>7*710000+1*2340000+1410000+D225*4500000</f>
        <v>44720000</v>
      </c>
      <c r="J225" s="317"/>
      <c r="K225" s="312">
        <f>G225-H225-I225</f>
        <v>243280000</v>
      </c>
      <c r="L225" s="476"/>
      <c r="M225" s="242" t="s">
        <v>894</v>
      </c>
      <c r="N225" s="293">
        <f>K230</f>
        <v>906461000</v>
      </c>
    </row>
    <row r="226" spans="1:14" ht="30.75" customHeight="1" x14ac:dyDescent="0.25">
      <c r="A226" s="307">
        <v>3</v>
      </c>
      <c r="B226" s="314" t="s">
        <v>530</v>
      </c>
      <c r="C226" s="309" t="s">
        <v>526</v>
      </c>
      <c r="D226" s="309">
        <v>1</v>
      </c>
      <c r="E226" s="310"/>
      <c r="F226" s="312">
        <v>10000000</v>
      </c>
      <c r="G226" s="312">
        <f>F226*D226*12</f>
        <v>120000000</v>
      </c>
      <c r="H226" s="312"/>
      <c r="I226" s="312"/>
      <c r="J226" s="312"/>
      <c r="K226" s="312">
        <f>G226</f>
        <v>120000000</v>
      </c>
      <c r="L226" s="313"/>
    </row>
    <row r="227" spans="1:14" ht="19.5" customHeight="1" x14ac:dyDescent="0.25">
      <c r="A227" s="307">
        <v>4</v>
      </c>
      <c r="B227" s="315" t="s">
        <v>650</v>
      </c>
      <c r="C227" s="365"/>
      <c r="D227" s="319"/>
      <c r="E227" s="316"/>
      <c r="F227" s="312"/>
      <c r="G227" s="440">
        <f>SUM(G228:G230)</f>
        <v>1192876800</v>
      </c>
      <c r="H227" s="440">
        <f t="shared" ref="H227:K227" si="65">SUM(H228:H230)</f>
        <v>0</v>
      </c>
      <c r="I227" s="440">
        <f t="shared" si="65"/>
        <v>0</v>
      </c>
      <c r="J227" s="440"/>
      <c r="K227" s="440">
        <f t="shared" si="65"/>
        <v>1192877000</v>
      </c>
      <c r="L227" s="313"/>
    </row>
    <row r="228" spans="1:14" s="259" customFormat="1" ht="21.75" customHeight="1" x14ac:dyDescent="0.25">
      <c r="A228" s="244" t="s">
        <v>287</v>
      </c>
      <c r="B228" s="332" t="s">
        <v>651</v>
      </c>
      <c r="C228" s="296" t="s">
        <v>526</v>
      </c>
      <c r="D228" s="477">
        <v>33</v>
      </c>
      <c r="E228" s="478">
        <v>0.3</v>
      </c>
      <c r="F228" s="330">
        <v>2340000</v>
      </c>
      <c r="G228" s="330">
        <f>D228*E228*F228*12</f>
        <v>277992000</v>
      </c>
      <c r="H228" s="434"/>
      <c r="I228" s="434"/>
      <c r="J228" s="434"/>
      <c r="K228" s="434">
        <f t="shared" ref="K228:K229" si="66">G228</f>
        <v>277992000</v>
      </c>
      <c r="L228" s="331"/>
    </row>
    <row r="229" spans="1:14" s="259" customFormat="1" ht="21.75" customHeight="1" x14ac:dyDescent="0.25">
      <c r="A229" s="479" t="s">
        <v>593</v>
      </c>
      <c r="B229" s="332" t="s">
        <v>652</v>
      </c>
      <c r="C229" s="296" t="s">
        <v>526</v>
      </c>
      <c r="D229" s="477">
        <v>1</v>
      </c>
      <c r="E229" s="478">
        <v>0.3</v>
      </c>
      <c r="F229" s="330">
        <v>2340000</v>
      </c>
      <c r="G229" s="330">
        <f t="shared" ref="G229" si="67">D229*E229*F229*12</f>
        <v>8424000</v>
      </c>
      <c r="H229" s="434"/>
      <c r="I229" s="434"/>
      <c r="J229" s="434"/>
      <c r="K229" s="434">
        <f t="shared" si="66"/>
        <v>8424000</v>
      </c>
      <c r="L229" s="331"/>
    </row>
    <row r="230" spans="1:14" s="259" customFormat="1" ht="21.75" customHeight="1" x14ac:dyDescent="0.25">
      <c r="A230" s="479" t="s">
        <v>287</v>
      </c>
      <c r="B230" s="332" t="s">
        <v>653</v>
      </c>
      <c r="C230" s="296" t="s">
        <v>526</v>
      </c>
      <c r="D230" s="477">
        <v>28</v>
      </c>
      <c r="E230" s="478"/>
      <c r="F230" s="330">
        <f>2300000+2340000*17%</f>
        <v>2697800</v>
      </c>
      <c r="G230" s="330">
        <f>F230*D230*12</f>
        <v>906460800</v>
      </c>
      <c r="H230" s="434"/>
      <c r="I230" s="434"/>
      <c r="J230" s="434"/>
      <c r="K230" s="434">
        <f>G230+200</f>
        <v>906461000</v>
      </c>
      <c r="L230" s="331"/>
    </row>
    <row r="231" spans="1:14" s="259" customFormat="1" ht="21.75" customHeight="1" x14ac:dyDescent="0.25">
      <c r="A231" s="307">
        <v>5</v>
      </c>
      <c r="B231" s="318" t="s">
        <v>531</v>
      </c>
      <c r="C231" s="309" t="s">
        <v>526</v>
      </c>
      <c r="D231" s="309">
        <v>8</v>
      </c>
      <c r="E231" s="480">
        <f>E237</f>
        <v>27.18</v>
      </c>
      <c r="F231" s="312">
        <f>2340000*10%</f>
        <v>234000</v>
      </c>
      <c r="G231" s="312">
        <f>F231*E231*12</f>
        <v>76321440</v>
      </c>
      <c r="H231" s="312"/>
      <c r="I231" s="312"/>
      <c r="J231" s="312"/>
      <c r="K231" s="312">
        <f>G231-440</f>
        <v>76321000</v>
      </c>
      <c r="L231" s="331"/>
    </row>
    <row r="232" spans="1:14" ht="50.25" customHeight="1" x14ac:dyDescent="0.25">
      <c r="A232" s="426">
        <v>6</v>
      </c>
      <c r="B232" s="315" t="s">
        <v>537</v>
      </c>
      <c r="C232" s="319"/>
      <c r="D232" s="319"/>
      <c r="E232" s="316"/>
      <c r="F232" s="312"/>
      <c r="G232" s="312">
        <f>500000000</f>
        <v>500000000</v>
      </c>
      <c r="H232" s="440"/>
      <c r="I232" s="440"/>
      <c r="J232" s="440"/>
      <c r="K232" s="440">
        <f>G232</f>
        <v>500000000</v>
      </c>
      <c r="L232" s="313"/>
      <c r="M232" s="242" t="s">
        <v>654</v>
      </c>
      <c r="N232" s="242">
        <f>100000000/23</f>
        <v>4347826.0869565215</v>
      </c>
    </row>
    <row r="233" spans="1:14" ht="21.75" customHeight="1" x14ac:dyDescent="0.25">
      <c r="A233" s="426">
        <v>7</v>
      </c>
      <c r="B233" s="315" t="s">
        <v>655</v>
      </c>
      <c r="C233" s="365" t="s">
        <v>535</v>
      </c>
      <c r="D233" s="367"/>
      <c r="E233" s="368"/>
      <c r="F233" s="369"/>
      <c r="G233" s="254">
        <f>K259</f>
        <v>100000000</v>
      </c>
      <c r="H233" s="247"/>
      <c r="I233" s="247"/>
      <c r="J233" s="247"/>
      <c r="K233" s="317">
        <f>G233</f>
        <v>100000000</v>
      </c>
      <c r="L233" s="313"/>
      <c r="M233" s="914" t="s">
        <v>656</v>
      </c>
      <c r="N233" s="915"/>
    </row>
    <row r="234" spans="1:14" s="489" customFormat="1" ht="18.75" hidden="1" customHeight="1" x14ac:dyDescent="0.25">
      <c r="A234" s="333">
        <v>1</v>
      </c>
      <c r="B234" s="481" t="s">
        <v>657</v>
      </c>
      <c r="C234" s="482"/>
      <c r="D234" s="483"/>
      <c r="E234" s="484"/>
      <c r="F234" s="337"/>
      <c r="G234" s="486">
        <f>G235+G250+G252+G262</f>
        <v>5210872692</v>
      </c>
      <c r="H234" s="487">
        <f>H235+H250+H252+H262</f>
        <v>32000000</v>
      </c>
      <c r="I234" s="487">
        <f>I235+I250+I252+I262</f>
        <v>44720000</v>
      </c>
      <c r="J234" s="487"/>
      <c r="K234" s="487">
        <f>K235+K250+K252+K262</f>
        <v>4017752692</v>
      </c>
      <c r="L234" s="488"/>
    </row>
    <row r="235" spans="1:14" hidden="1" x14ac:dyDescent="0.25">
      <c r="A235" s="241" t="s">
        <v>576</v>
      </c>
      <c r="B235" s="490" t="s">
        <v>635</v>
      </c>
      <c r="C235" s="294"/>
      <c r="D235" s="294"/>
      <c r="E235" s="299"/>
      <c r="F235" s="369"/>
      <c r="G235" s="491">
        <f>G236+G248</f>
        <v>1905274452</v>
      </c>
      <c r="H235" s="491">
        <f>H236+H248</f>
        <v>0</v>
      </c>
      <c r="I235" s="491">
        <f>I236+I248</f>
        <v>0</v>
      </c>
      <c r="J235" s="491"/>
      <c r="K235" s="491">
        <f>K236+K248</f>
        <v>1905274452</v>
      </c>
      <c r="L235" s="313"/>
    </row>
    <row r="236" spans="1:14" hidden="1" x14ac:dyDescent="0.25">
      <c r="A236" s="343" t="s">
        <v>541</v>
      </c>
      <c r="B236" s="492" t="s">
        <v>636</v>
      </c>
      <c r="C236" s="345"/>
      <c r="D236" s="345"/>
      <c r="E236" s="493"/>
      <c r="F236" s="347"/>
      <c r="G236" s="494">
        <f>SUM(G237:G247)</f>
        <v>1785274452</v>
      </c>
      <c r="H236" s="494">
        <f>SUM(H237:H247)</f>
        <v>0</v>
      </c>
      <c r="I236" s="494">
        <f>SUM(I237:I247)</f>
        <v>0</v>
      </c>
      <c r="J236" s="494"/>
      <c r="K236" s="494">
        <f>SUM(K237:K247)</f>
        <v>1785274452</v>
      </c>
      <c r="L236" s="313"/>
    </row>
    <row r="237" spans="1:14" hidden="1" x14ac:dyDescent="0.25">
      <c r="A237" s="307" t="s">
        <v>287</v>
      </c>
      <c r="B237" s="315" t="s">
        <v>543</v>
      </c>
      <c r="C237" s="365" t="s">
        <v>526</v>
      </c>
      <c r="D237" s="365">
        <v>8</v>
      </c>
      <c r="E237" s="495">
        <v>27.18</v>
      </c>
      <c r="F237" s="312">
        <v>2340000</v>
      </c>
      <c r="G237" s="317">
        <f>E237*F237*12</f>
        <v>763214400</v>
      </c>
      <c r="H237" s="317"/>
      <c r="I237" s="317"/>
      <c r="J237" s="317"/>
      <c r="K237" s="317">
        <f>G237-H237-I237</f>
        <v>763214400</v>
      </c>
      <c r="L237" s="313"/>
    </row>
    <row r="238" spans="1:14" hidden="1" x14ac:dyDescent="0.25">
      <c r="A238" s="307" t="s">
        <v>287</v>
      </c>
      <c r="B238" s="315" t="s">
        <v>544</v>
      </c>
      <c r="C238" s="365" t="s">
        <v>526</v>
      </c>
      <c r="D238" s="365">
        <v>4</v>
      </c>
      <c r="E238" s="496">
        <v>1.55</v>
      </c>
      <c r="F238" s="312">
        <v>2340000</v>
      </c>
      <c r="G238" s="317">
        <f t="shared" ref="G238:G247" si="68">E238*F238*12</f>
        <v>43524000</v>
      </c>
      <c r="H238" s="317"/>
      <c r="I238" s="317"/>
      <c r="J238" s="317"/>
      <c r="K238" s="317">
        <f t="shared" ref="K238:K246" si="69">G238-H238-I238</f>
        <v>43524000</v>
      </c>
      <c r="L238" s="313"/>
    </row>
    <row r="239" spans="1:14" hidden="1" x14ac:dyDescent="0.25">
      <c r="A239" s="307" t="s">
        <v>287</v>
      </c>
      <c r="B239" s="315" t="s">
        <v>546</v>
      </c>
      <c r="C239" s="365" t="s">
        <v>526</v>
      </c>
      <c r="D239" s="365">
        <v>8</v>
      </c>
      <c r="E239" s="496">
        <v>5.6</v>
      </c>
      <c r="F239" s="312">
        <v>2340000</v>
      </c>
      <c r="G239" s="317">
        <f t="shared" si="68"/>
        <v>157248000</v>
      </c>
      <c r="H239" s="317"/>
      <c r="I239" s="317"/>
      <c r="J239" s="317"/>
      <c r="K239" s="317">
        <f t="shared" si="69"/>
        <v>157248000</v>
      </c>
      <c r="L239" s="313"/>
    </row>
    <row r="240" spans="1:14" hidden="1" x14ac:dyDescent="0.25">
      <c r="A240" s="307" t="s">
        <v>287</v>
      </c>
      <c r="B240" s="315" t="s">
        <v>658</v>
      </c>
      <c r="C240" s="365" t="s">
        <v>526</v>
      </c>
      <c r="D240" s="365">
        <v>4</v>
      </c>
      <c r="E240" s="496">
        <v>5.31</v>
      </c>
      <c r="F240" s="312">
        <v>2340000</v>
      </c>
      <c r="G240" s="317">
        <f t="shared" si="68"/>
        <v>149104800</v>
      </c>
      <c r="H240" s="317"/>
      <c r="I240" s="317"/>
      <c r="J240" s="317"/>
      <c r="K240" s="317">
        <f t="shared" si="69"/>
        <v>149104800</v>
      </c>
      <c r="L240" s="313"/>
    </row>
    <row r="241" spans="1:12" hidden="1" x14ac:dyDescent="0.25">
      <c r="A241" s="307" t="s">
        <v>287</v>
      </c>
      <c r="B241" s="315" t="s">
        <v>548</v>
      </c>
      <c r="C241" s="365" t="s">
        <v>526</v>
      </c>
      <c r="D241" s="365">
        <v>3</v>
      </c>
      <c r="E241" s="496">
        <v>4.9139999999999997</v>
      </c>
      <c r="F241" s="312">
        <v>2340000</v>
      </c>
      <c r="G241" s="317">
        <f>E241*F241*12</f>
        <v>137985120</v>
      </c>
      <c r="H241" s="317"/>
      <c r="I241" s="317"/>
      <c r="J241" s="317"/>
      <c r="K241" s="317">
        <f t="shared" si="69"/>
        <v>137985120</v>
      </c>
      <c r="L241" s="313"/>
    </row>
    <row r="242" spans="1:12" hidden="1" x14ac:dyDescent="0.25">
      <c r="A242" s="307" t="s">
        <v>287</v>
      </c>
      <c r="B242" s="315" t="s">
        <v>549</v>
      </c>
      <c r="C242" s="365" t="s">
        <v>526</v>
      </c>
      <c r="D242" s="365">
        <v>5</v>
      </c>
      <c r="E242" s="496">
        <v>4</v>
      </c>
      <c r="F242" s="312">
        <v>2340000</v>
      </c>
      <c r="G242" s="317">
        <f t="shared" si="68"/>
        <v>112320000</v>
      </c>
      <c r="H242" s="317"/>
      <c r="I242" s="317"/>
      <c r="J242" s="317"/>
      <c r="K242" s="317">
        <f t="shared" si="69"/>
        <v>112320000</v>
      </c>
      <c r="L242" s="313"/>
    </row>
    <row r="243" spans="1:12" hidden="1" x14ac:dyDescent="0.25">
      <c r="A243" s="307" t="s">
        <v>287</v>
      </c>
      <c r="B243" s="315" t="s">
        <v>550</v>
      </c>
      <c r="C243" s="365" t="s">
        <v>526</v>
      </c>
      <c r="D243" s="365">
        <v>8</v>
      </c>
      <c r="E243" s="496">
        <f>(E237+E238)*25%</f>
        <v>7.1825000000000001</v>
      </c>
      <c r="F243" s="312">
        <v>2340000</v>
      </c>
      <c r="G243" s="317">
        <f t="shared" si="68"/>
        <v>201684600</v>
      </c>
      <c r="H243" s="317"/>
      <c r="I243" s="317"/>
      <c r="J243" s="317"/>
      <c r="K243" s="317">
        <f t="shared" si="69"/>
        <v>201684600</v>
      </c>
      <c r="L243" s="313"/>
    </row>
    <row r="244" spans="1:12" hidden="1" x14ac:dyDescent="0.25">
      <c r="A244" s="307" t="s">
        <v>593</v>
      </c>
      <c r="B244" s="315" t="s">
        <v>659</v>
      </c>
      <c r="C244" s="365" t="s">
        <v>526</v>
      </c>
      <c r="D244" s="365">
        <v>8</v>
      </c>
      <c r="E244" s="496">
        <v>1.2</v>
      </c>
      <c r="F244" s="312">
        <v>2340000</v>
      </c>
      <c r="G244" s="317">
        <f t="shared" si="68"/>
        <v>33696000</v>
      </c>
      <c r="H244" s="317"/>
      <c r="I244" s="317"/>
      <c r="J244" s="317"/>
      <c r="K244" s="317">
        <f t="shared" si="69"/>
        <v>33696000</v>
      </c>
      <c r="L244" s="313"/>
    </row>
    <row r="245" spans="1:12" hidden="1" x14ac:dyDescent="0.25">
      <c r="A245" s="307" t="s">
        <v>593</v>
      </c>
      <c r="B245" s="315" t="s">
        <v>660</v>
      </c>
      <c r="C245" s="365" t="s">
        <v>526</v>
      </c>
      <c r="D245" s="365">
        <v>1</v>
      </c>
      <c r="E245" s="496">
        <v>0.05</v>
      </c>
      <c r="F245" s="312">
        <v>2340000</v>
      </c>
      <c r="G245" s="317">
        <f t="shared" si="68"/>
        <v>1404000</v>
      </c>
      <c r="H245" s="317"/>
      <c r="I245" s="317"/>
      <c r="J245" s="317"/>
      <c r="K245" s="317">
        <f t="shared" si="69"/>
        <v>1404000</v>
      </c>
      <c r="L245" s="313"/>
    </row>
    <row r="246" spans="1:12" hidden="1" x14ac:dyDescent="0.25">
      <c r="A246" s="307" t="s">
        <v>556</v>
      </c>
      <c r="B246" s="315" t="s">
        <v>661</v>
      </c>
      <c r="C246" s="365" t="s">
        <v>526</v>
      </c>
      <c r="D246" s="365">
        <v>1</v>
      </c>
      <c r="E246" s="496">
        <f>(5.42+0.6)*10%+0.1</f>
        <v>0.70199999999999996</v>
      </c>
      <c r="F246" s="312">
        <v>2340000</v>
      </c>
      <c r="G246" s="317">
        <f t="shared" si="68"/>
        <v>19712160</v>
      </c>
      <c r="H246" s="317"/>
      <c r="I246" s="317"/>
      <c r="J246" s="317"/>
      <c r="K246" s="317">
        <f t="shared" si="69"/>
        <v>19712160</v>
      </c>
      <c r="L246" s="313"/>
    </row>
    <row r="247" spans="1:12" hidden="1" x14ac:dyDescent="0.25">
      <c r="A247" s="307" t="s">
        <v>287</v>
      </c>
      <c r="B247" s="315" t="s">
        <v>551</v>
      </c>
      <c r="C247" s="365" t="s">
        <v>526</v>
      </c>
      <c r="D247" s="365">
        <v>8</v>
      </c>
      <c r="E247" s="424">
        <f>(E237+E238)*20.5%</f>
        <v>5.8896499999999996</v>
      </c>
      <c r="F247" s="312">
        <v>2340000</v>
      </c>
      <c r="G247" s="317">
        <f t="shared" si="68"/>
        <v>165381372</v>
      </c>
      <c r="H247" s="317"/>
      <c r="I247" s="317"/>
      <c r="J247" s="317"/>
      <c r="K247" s="317">
        <f>G247-H247-I247</f>
        <v>165381372</v>
      </c>
      <c r="L247" s="313"/>
    </row>
    <row r="248" spans="1:12" hidden="1" x14ac:dyDescent="0.25">
      <c r="A248" s="343" t="s">
        <v>541</v>
      </c>
      <c r="B248" s="360" t="s">
        <v>552</v>
      </c>
      <c r="C248" s="361"/>
      <c r="D248" s="361">
        <v>4</v>
      </c>
      <c r="E248" s="362"/>
      <c r="F248" s="363"/>
      <c r="G248" s="364">
        <f>SUM(G249:G249)</f>
        <v>120000000</v>
      </c>
      <c r="H248" s="364"/>
      <c r="I248" s="364"/>
      <c r="J248" s="364"/>
      <c r="K248" s="364">
        <f>SUM(K249:K249)</f>
        <v>120000000</v>
      </c>
      <c r="L248" s="313"/>
    </row>
    <row r="249" spans="1:12" ht="45" hidden="1" x14ac:dyDescent="0.25">
      <c r="A249" s="307" t="s">
        <v>287</v>
      </c>
      <c r="B249" s="318" t="s">
        <v>553</v>
      </c>
      <c r="C249" s="365" t="s">
        <v>526</v>
      </c>
      <c r="D249" s="319">
        <v>1</v>
      </c>
      <c r="E249" s="366"/>
      <c r="F249" s="312">
        <v>10000000</v>
      </c>
      <c r="G249" s="317">
        <f>D249*F249*12</f>
        <v>120000000</v>
      </c>
      <c r="H249" s="317"/>
      <c r="I249" s="317"/>
      <c r="J249" s="317"/>
      <c r="K249" s="317">
        <f>G249-H249-I249</f>
        <v>120000000</v>
      </c>
      <c r="L249" s="313"/>
    </row>
    <row r="250" spans="1:12" hidden="1" x14ac:dyDescent="0.25">
      <c r="A250" s="241" t="s">
        <v>583</v>
      </c>
      <c r="B250" s="384" t="s">
        <v>662</v>
      </c>
      <c r="C250" s="365"/>
      <c r="D250" s="319"/>
      <c r="E250" s="423"/>
      <c r="F250" s="312"/>
      <c r="G250" s="491">
        <f>G251</f>
        <v>320000000</v>
      </c>
      <c r="H250" s="491">
        <f>H251</f>
        <v>32000000</v>
      </c>
      <c r="I250" s="491">
        <f>I251</f>
        <v>44720000</v>
      </c>
      <c r="J250" s="491"/>
      <c r="K250" s="491">
        <f>K251</f>
        <v>243280000</v>
      </c>
      <c r="L250" s="313"/>
    </row>
    <row r="251" spans="1:12" hidden="1" x14ac:dyDescent="0.25">
      <c r="A251" s="307" t="s">
        <v>556</v>
      </c>
      <c r="B251" s="315" t="s">
        <v>663</v>
      </c>
      <c r="C251" s="365" t="s">
        <v>526</v>
      </c>
      <c r="D251" s="319">
        <v>8</v>
      </c>
      <c r="E251" s="423"/>
      <c r="F251" s="312">
        <v>40000000</v>
      </c>
      <c r="G251" s="317">
        <f>D251*F251</f>
        <v>320000000</v>
      </c>
      <c r="H251" s="317">
        <f>G251*0.1</f>
        <v>32000000</v>
      </c>
      <c r="I251" s="317">
        <f>7*710000+1*2340000+1410000+D251*4500000</f>
        <v>44720000</v>
      </c>
      <c r="J251" s="317"/>
      <c r="K251" s="317">
        <f>G251-H251-I251</f>
        <v>243280000</v>
      </c>
      <c r="L251" s="313"/>
    </row>
    <row r="252" spans="1:12" hidden="1" x14ac:dyDescent="0.25">
      <c r="A252" s="241" t="s">
        <v>585</v>
      </c>
      <c r="B252" s="384" t="s">
        <v>628</v>
      </c>
      <c r="C252" s="377"/>
      <c r="D252" s="367"/>
      <c r="E252" s="368"/>
      <c r="F252" s="369"/>
      <c r="G252" s="247">
        <f>SUM(G253:G261)</f>
        <v>2909276800</v>
      </c>
      <c r="H252" s="247">
        <f>SUM(H253:H261)</f>
        <v>0</v>
      </c>
      <c r="I252" s="247">
        <f>SUM(I253:I261)</f>
        <v>0</v>
      </c>
      <c r="J252" s="247"/>
      <c r="K252" s="247">
        <f>SUM(K253:K261)</f>
        <v>1792876800</v>
      </c>
      <c r="L252" s="313"/>
    </row>
    <row r="253" spans="1:12" ht="22.5" hidden="1" customHeight="1" x14ac:dyDescent="0.25">
      <c r="A253" s="241" t="s">
        <v>556</v>
      </c>
      <c r="B253" s="315" t="s">
        <v>651</v>
      </c>
      <c r="C253" s="365" t="s">
        <v>526</v>
      </c>
      <c r="D253" s="319">
        <v>33</v>
      </c>
      <c r="E253" s="316">
        <v>0.3</v>
      </c>
      <c r="F253" s="312">
        <v>2340000</v>
      </c>
      <c r="G253" s="254">
        <f>D253*E253*F253*12</f>
        <v>277992000</v>
      </c>
      <c r="H253" s="247"/>
      <c r="I253" s="247"/>
      <c r="J253" s="247"/>
      <c r="K253" s="317">
        <f t="shared" ref="K253:K256" si="70">G253-H253-I253</f>
        <v>277992000</v>
      </c>
      <c r="L253" s="313"/>
    </row>
    <row r="254" spans="1:12" ht="30.75" hidden="1" customHeight="1" x14ac:dyDescent="0.25">
      <c r="A254" s="241" t="s">
        <v>556</v>
      </c>
      <c r="B254" s="315" t="s">
        <v>652</v>
      </c>
      <c r="C254" s="365" t="s">
        <v>526</v>
      </c>
      <c r="D254" s="319">
        <v>1</v>
      </c>
      <c r="E254" s="316">
        <v>0.3</v>
      </c>
      <c r="F254" s="312">
        <v>2340000</v>
      </c>
      <c r="G254" s="254">
        <f>D254*E254*F254*12</f>
        <v>8424000</v>
      </c>
      <c r="H254" s="247"/>
      <c r="I254" s="247"/>
      <c r="J254" s="247"/>
      <c r="K254" s="317">
        <f t="shared" si="70"/>
        <v>8424000</v>
      </c>
      <c r="L254" s="313"/>
    </row>
    <row r="255" spans="1:12" hidden="1" x14ac:dyDescent="0.25">
      <c r="A255" s="241" t="s">
        <v>556</v>
      </c>
      <c r="B255" s="315" t="s">
        <v>664</v>
      </c>
      <c r="C255" s="365" t="s">
        <v>526</v>
      </c>
      <c r="D255" s="319">
        <v>28</v>
      </c>
      <c r="E255" s="316"/>
      <c r="F255" s="312">
        <v>2300000</v>
      </c>
      <c r="G255" s="254">
        <f>D255*F255*12</f>
        <v>772800000</v>
      </c>
      <c r="H255" s="247"/>
      <c r="I255" s="247"/>
      <c r="J255" s="247"/>
      <c r="K255" s="317">
        <f t="shared" si="70"/>
        <v>772800000</v>
      </c>
      <c r="L255" s="313"/>
    </row>
    <row r="256" spans="1:12" ht="30" hidden="1" x14ac:dyDescent="0.25">
      <c r="A256" s="241" t="s">
        <v>556</v>
      </c>
      <c r="B256" s="497" t="s">
        <v>665</v>
      </c>
      <c r="C256" s="365" t="s">
        <v>526</v>
      </c>
      <c r="D256" s="319">
        <v>28</v>
      </c>
      <c r="E256" s="316"/>
      <c r="F256" s="312">
        <f>2340000*17%</f>
        <v>397800</v>
      </c>
      <c r="G256" s="254">
        <f>D256*F256*12</f>
        <v>133660800</v>
      </c>
      <c r="H256" s="247"/>
      <c r="I256" s="247"/>
      <c r="J256" s="247"/>
      <c r="K256" s="317">
        <f t="shared" si="70"/>
        <v>133660800</v>
      </c>
      <c r="L256" s="313"/>
    </row>
    <row r="257" spans="1:14" hidden="1" x14ac:dyDescent="0.25">
      <c r="A257" s="241" t="s">
        <v>556</v>
      </c>
      <c r="B257" s="315" t="s">
        <v>666</v>
      </c>
      <c r="C257" s="365" t="s">
        <v>535</v>
      </c>
      <c r="D257" s="367"/>
      <c r="E257" s="368"/>
      <c r="F257" s="369"/>
      <c r="G257" s="254">
        <v>733000000</v>
      </c>
      <c r="H257" s="247"/>
      <c r="I257" s="247"/>
      <c r="J257" s="247"/>
      <c r="K257" s="317">
        <v>350000000</v>
      </c>
      <c r="L257" s="313"/>
    </row>
    <row r="258" spans="1:14" ht="45" hidden="1" x14ac:dyDescent="0.25">
      <c r="A258" s="241" t="s">
        <v>556</v>
      </c>
      <c r="B258" s="315" t="s">
        <v>667</v>
      </c>
      <c r="C258" s="365" t="s">
        <v>535</v>
      </c>
      <c r="D258" s="367"/>
      <c r="E258" s="368"/>
      <c r="F258" s="369"/>
      <c r="G258" s="254">
        <v>743000000</v>
      </c>
      <c r="H258" s="247"/>
      <c r="I258" s="247"/>
      <c r="J258" s="247"/>
      <c r="K258" s="317">
        <v>150000000</v>
      </c>
      <c r="L258" s="313"/>
    </row>
    <row r="259" spans="1:14" hidden="1" x14ac:dyDescent="0.25">
      <c r="A259" s="241" t="s">
        <v>556</v>
      </c>
      <c r="B259" s="315" t="s">
        <v>668</v>
      </c>
      <c r="C259" s="365" t="s">
        <v>535</v>
      </c>
      <c r="D259" s="367"/>
      <c r="E259" s="368"/>
      <c r="F259" s="369"/>
      <c r="G259" s="254">
        <v>128400000</v>
      </c>
      <c r="H259" s="247"/>
      <c r="I259" s="247"/>
      <c r="J259" s="247"/>
      <c r="K259" s="317">
        <v>100000000</v>
      </c>
      <c r="L259" s="313"/>
    </row>
    <row r="260" spans="1:14" ht="45" hidden="1" x14ac:dyDescent="0.25">
      <c r="A260" s="241" t="s">
        <v>556</v>
      </c>
      <c r="B260" s="315" t="s">
        <v>669</v>
      </c>
      <c r="C260" s="365" t="s">
        <v>535</v>
      </c>
      <c r="D260" s="367"/>
      <c r="E260" s="368"/>
      <c r="F260" s="369"/>
      <c r="G260" s="254">
        <v>90000000</v>
      </c>
      <c r="H260" s="254"/>
      <c r="I260" s="254"/>
      <c r="J260" s="254"/>
      <c r="K260" s="254"/>
      <c r="L260" s="313"/>
    </row>
    <row r="261" spans="1:14" ht="30" hidden="1" x14ac:dyDescent="0.25">
      <c r="A261" s="241" t="s">
        <v>556</v>
      </c>
      <c r="B261" s="315" t="s">
        <v>670</v>
      </c>
      <c r="C261" s="365"/>
      <c r="D261" s="367"/>
      <c r="E261" s="368"/>
      <c r="F261" s="369"/>
      <c r="G261" s="254">
        <v>22000000</v>
      </c>
      <c r="H261" s="254"/>
      <c r="I261" s="254"/>
      <c r="J261" s="254"/>
      <c r="K261" s="254"/>
      <c r="L261" s="313"/>
    </row>
    <row r="262" spans="1:14" ht="28.5" hidden="1" x14ac:dyDescent="0.25">
      <c r="A262" s="241" t="s">
        <v>587</v>
      </c>
      <c r="B262" s="384" t="s">
        <v>671</v>
      </c>
      <c r="C262" s="377" t="s">
        <v>526</v>
      </c>
      <c r="D262" s="367">
        <v>8</v>
      </c>
      <c r="E262" s="368">
        <f>27.18*10%</f>
        <v>2.718</v>
      </c>
      <c r="F262" s="369">
        <v>2340000</v>
      </c>
      <c r="G262" s="247">
        <f>E262*F262*12</f>
        <v>76321440</v>
      </c>
      <c r="H262" s="247"/>
      <c r="I262" s="247"/>
      <c r="J262" s="247"/>
      <c r="K262" s="491">
        <f>G262-H262-I262</f>
        <v>76321440</v>
      </c>
      <c r="L262" s="313"/>
    </row>
    <row r="263" spans="1:14" s="437" customFormat="1" ht="23.25" customHeight="1" x14ac:dyDescent="0.25">
      <c r="A263" s="300" t="s">
        <v>27</v>
      </c>
      <c r="B263" s="475" t="s">
        <v>202</v>
      </c>
      <c r="C263" s="498" t="s">
        <v>526</v>
      </c>
      <c r="D263" s="302">
        <v>6</v>
      </c>
      <c r="E263" s="475"/>
      <c r="F263" s="304"/>
      <c r="G263" s="304">
        <f>SUM(G264:G268)</f>
        <v>1875399688</v>
      </c>
      <c r="H263" s="304">
        <f>SUM(H264:H268)</f>
        <v>24000000</v>
      </c>
      <c r="I263" s="304">
        <f>SUM(I264:I268)</f>
        <v>34300000</v>
      </c>
      <c r="J263" s="304"/>
      <c r="K263" s="304">
        <f>SUM(K264:K268)</f>
        <v>1817100000</v>
      </c>
      <c r="L263" s="436"/>
      <c r="M263" s="306"/>
      <c r="N263" s="570">
        <f>N264+N265</f>
        <v>1817100000</v>
      </c>
    </row>
    <row r="264" spans="1:14" ht="23.25" customHeight="1" x14ac:dyDescent="0.25">
      <c r="A264" s="307">
        <v>1</v>
      </c>
      <c r="B264" s="458" t="s">
        <v>527</v>
      </c>
      <c r="C264" s="309" t="s">
        <v>526</v>
      </c>
      <c r="D264" s="309">
        <v>6</v>
      </c>
      <c r="E264" s="419"/>
      <c r="F264" s="312"/>
      <c r="G264" s="312">
        <f>G270</f>
        <v>1259081928</v>
      </c>
      <c r="H264" s="312"/>
      <c r="I264" s="312"/>
      <c r="J264" s="312"/>
      <c r="K264" s="312">
        <f>G264+72</f>
        <v>1259082000</v>
      </c>
      <c r="L264" s="313"/>
      <c r="M264" s="242" t="s">
        <v>893</v>
      </c>
      <c r="N264" s="293">
        <f>K264+K265+K266+K267+K268</f>
        <v>1817100000</v>
      </c>
    </row>
    <row r="265" spans="1:14" ht="23.25" customHeight="1" x14ac:dyDescent="0.25">
      <c r="A265" s="307">
        <v>2</v>
      </c>
      <c r="B265" s="412" t="s">
        <v>528</v>
      </c>
      <c r="C265" s="309" t="s">
        <v>526</v>
      </c>
      <c r="D265" s="309">
        <v>6</v>
      </c>
      <c r="E265" s="316"/>
      <c r="F265" s="444">
        <v>40000000</v>
      </c>
      <c r="G265" s="425">
        <f>D265*F265</f>
        <v>240000000</v>
      </c>
      <c r="H265" s="425">
        <f>G265*0.1</f>
        <v>24000000</v>
      </c>
      <c r="I265" s="317">
        <f>5*710000+1*2340000+1410000+4500000*D265</f>
        <v>34300000</v>
      </c>
      <c r="J265" s="317"/>
      <c r="K265" s="425">
        <f>G265-H265-I265</f>
        <v>181700000</v>
      </c>
      <c r="L265" s="313"/>
      <c r="M265" s="242" t="s">
        <v>894</v>
      </c>
      <c r="N265" s="293"/>
    </row>
    <row r="266" spans="1:14" ht="23.25" customHeight="1" x14ac:dyDescent="0.25">
      <c r="A266" s="426">
        <v>3</v>
      </c>
      <c r="B266" s="315" t="s">
        <v>672</v>
      </c>
      <c r="C266" s="309" t="s">
        <v>526</v>
      </c>
      <c r="D266" s="319">
        <v>26</v>
      </c>
      <c r="E266" s="316">
        <v>6.7</v>
      </c>
      <c r="F266" s="312">
        <v>2340000</v>
      </c>
      <c r="G266" s="254">
        <f>E266*F266*12</f>
        <v>188136000</v>
      </c>
      <c r="H266" s="312"/>
      <c r="I266" s="312"/>
      <c r="J266" s="312"/>
      <c r="K266" s="312">
        <f>G266</f>
        <v>188136000</v>
      </c>
      <c r="L266" s="313"/>
    </row>
    <row r="267" spans="1:14" ht="23.25" customHeight="1" x14ac:dyDescent="0.25">
      <c r="A267" s="307">
        <v>4</v>
      </c>
      <c r="B267" s="656" t="s">
        <v>673</v>
      </c>
      <c r="C267" s="657"/>
      <c r="D267" s="657"/>
      <c r="E267" s="656"/>
      <c r="F267" s="658"/>
      <c r="G267" s="254">
        <f>K295</f>
        <v>130000000</v>
      </c>
      <c r="H267" s="247"/>
      <c r="I267" s="247"/>
      <c r="J267" s="247"/>
      <c r="K267" s="317">
        <f t="shared" ref="K267" si="71">G267-H267-I267</f>
        <v>130000000</v>
      </c>
      <c r="L267" s="313"/>
    </row>
    <row r="268" spans="1:14" ht="23.25" customHeight="1" x14ac:dyDescent="0.25">
      <c r="A268" s="426">
        <v>5</v>
      </c>
      <c r="B268" s="318" t="s">
        <v>531</v>
      </c>
      <c r="C268" s="309" t="s">
        <v>526</v>
      </c>
      <c r="D268" s="309">
        <v>6</v>
      </c>
      <c r="E268" s="422">
        <v>20.72</v>
      </c>
      <c r="F268" s="312">
        <f>2340000*10%</f>
        <v>234000</v>
      </c>
      <c r="G268" s="312">
        <f>F268*E268*12</f>
        <v>58181760</v>
      </c>
      <c r="H268" s="312"/>
      <c r="I268" s="312"/>
      <c r="J268" s="312"/>
      <c r="K268" s="312">
        <f>G268+240</f>
        <v>58182000</v>
      </c>
      <c r="L268" s="313"/>
    </row>
    <row r="269" spans="1:14" s="489" customFormat="1" ht="18.75" hidden="1" customHeight="1" x14ac:dyDescent="0.25">
      <c r="A269" s="333"/>
      <c r="B269" s="481" t="s">
        <v>674</v>
      </c>
      <c r="C269" s="482"/>
      <c r="D269" s="483"/>
      <c r="E269" s="484"/>
      <c r="F269" s="337"/>
      <c r="G269" s="486">
        <f>G270+G284+G286+G297</f>
        <v>2251250688</v>
      </c>
      <c r="H269" s="486">
        <f t="shared" ref="H269:K269" si="72">H270+H284+H286+H297</f>
        <v>24000000</v>
      </c>
      <c r="I269" s="486">
        <f t="shared" si="72"/>
        <v>34300000</v>
      </c>
      <c r="J269" s="486"/>
      <c r="K269" s="486">
        <f t="shared" si="72"/>
        <v>1817099688</v>
      </c>
      <c r="L269" s="488"/>
    </row>
    <row r="270" spans="1:14" ht="22.5" hidden="1" customHeight="1" x14ac:dyDescent="0.25">
      <c r="A270" s="241" t="s">
        <v>576</v>
      </c>
      <c r="B270" s="490" t="s">
        <v>635</v>
      </c>
      <c r="C270" s="294"/>
      <c r="D270" s="294"/>
      <c r="E270" s="299"/>
      <c r="F270" s="369"/>
      <c r="G270" s="491">
        <f>G271</f>
        <v>1259081928</v>
      </c>
      <c r="H270" s="491">
        <f>H271</f>
        <v>0</v>
      </c>
      <c r="I270" s="491">
        <f>I271</f>
        <v>0</v>
      </c>
      <c r="J270" s="491"/>
      <c r="K270" s="491">
        <f>K271</f>
        <v>1259081928</v>
      </c>
      <c r="L270" s="313"/>
    </row>
    <row r="271" spans="1:14" ht="22.5" hidden="1" customHeight="1" x14ac:dyDescent="0.25">
      <c r="A271" s="343" t="s">
        <v>541</v>
      </c>
      <c r="B271" s="492" t="s">
        <v>636</v>
      </c>
      <c r="C271" s="345"/>
      <c r="D271" s="345">
        <v>6</v>
      </c>
      <c r="E271" s="493">
        <f>SUM(E272:E283)</f>
        <v>44.839099999999988</v>
      </c>
      <c r="F271" s="347"/>
      <c r="G271" s="494">
        <f>SUM(G272:G283)</f>
        <v>1259081928</v>
      </c>
      <c r="H271" s="494">
        <f>SUM(H272:H283)</f>
        <v>0</v>
      </c>
      <c r="I271" s="494">
        <f>SUM(I272:I283)</f>
        <v>0</v>
      </c>
      <c r="J271" s="494"/>
      <c r="K271" s="494">
        <f>SUM(K272:K283)</f>
        <v>1259081928</v>
      </c>
      <c r="L271" s="313"/>
    </row>
    <row r="272" spans="1:14" ht="22.5" hidden="1" customHeight="1" x14ac:dyDescent="0.25">
      <c r="A272" s="307" t="s">
        <v>287</v>
      </c>
      <c r="B272" s="315" t="s">
        <v>543</v>
      </c>
      <c r="C272" s="365" t="s">
        <v>526</v>
      </c>
      <c r="D272" s="365">
        <v>6</v>
      </c>
      <c r="E272" s="422">
        <v>20.72</v>
      </c>
      <c r="F272" s="312">
        <v>2340000</v>
      </c>
      <c r="G272" s="317">
        <f t="shared" ref="G272:G283" si="73">E272*F272*12</f>
        <v>581817600</v>
      </c>
      <c r="H272" s="317"/>
      <c r="I272" s="317"/>
      <c r="J272" s="317"/>
      <c r="K272" s="317">
        <f t="shared" ref="K272:K283" si="74">G272-H272-I272</f>
        <v>581817600</v>
      </c>
      <c r="L272" s="313"/>
    </row>
    <row r="273" spans="1:12" ht="22.5" hidden="1" customHeight="1" x14ac:dyDescent="0.25">
      <c r="A273" s="307" t="s">
        <v>287</v>
      </c>
      <c r="B273" s="315" t="s">
        <v>544</v>
      </c>
      <c r="C273" s="365" t="s">
        <v>526</v>
      </c>
      <c r="D273" s="365">
        <v>3</v>
      </c>
      <c r="E273" s="366">
        <f>0.85-0.15</f>
        <v>0.7</v>
      </c>
      <c r="F273" s="312">
        <v>2340000</v>
      </c>
      <c r="G273" s="317">
        <f t="shared" si="73"/>
        <v>19656000</v>
      </c>
      <c r="H273" s="317"/>
      <c r="I273" s="317"/>
      <c r="J273" s="317"/>
      <c r="K273" s="317">
        <f t="shared" si="74"/>
        <v>19656000</v>
      </c>
      <c r="L273" s="313"/>
    </row>
    <row r="274" spans="1:12" ht="22.5" hidden="1" customHeight="1" x14ac:dyDescent="0.25">
      <c r="A274" s="307" t="s">
        <v>287</v>
      </c>
      <c r="B274" s="315" t="s">
        <v>546</v>
      </c>
      <c r="C274" s="365" t="s">
        <v>526</v>
      </c>
      <c r="D274" s="365">
        <v>6</v>
      </c>
      <c r="E274" s="366">
        <v>4.2</v>
      </c>
      <c r="F274" s="312">
        <v>2340000</v>
      </c>
      <c r="G274" s="317">
        <f t="shared" si="73"/>
        <v>117936000</v>
      </c>
      <c r="H274" s="317"/>
      <c r="I274" s="317"/>
      <c r="J274" s="317"/>
      <c r="K274" s="317">
        <f t="shared" si="74"/>
        <v>117936000</v>
      </c>
      <c r="L274" s="313"/>
    </row>
    <row r="275" spans="1:12" ht="22.5" hidden="1" customHeight="1" x14ac:dyDescent="0.25">
      <c r="A275" s="307" t="s">
        <v>556</v>
      </c>
      <c r="B275" s="315" t="s">
        <v>675</v>
      </c>
      <c r="C275" s="365" t="s">
        <v>526</v>
      </c>
      <c r="D275" s="365"/>
      <c r="E275" s="423"/>
      <c r="F275" s="312">
        <v>2340000</v>
      </c>
      <c r="G275" s="317">
        <f t="shared" si="73"/>
        <v>0</v>
      </c>
      <c r="H275" s="317"/>
      <c r="I275" s="317"/>
      <c r="J275" s="317"/>
      <c r="K275" s="317">
        <f t="shared" si="74"/>
        <v>0</v>
      </c>
      <c r="L275" s="313"/>
    </row>
    <row r="276" spans="1:12" ht="22.5" hidden="1" customHeight="1" x14ac:dyDescent="0.25">
      <c r="A276" s="307" t="s">
        <v>287</v>
      </c>
      <c r="B276" s="315" t="s">
        <v>658</v>
      </c>
      <c r="C276" s="365" t="s">
        <v>526</v>
      </c>
      <c r="D276" s="365">
        <v>3</v>
      </c>
      <c r="E276" s="423">
        <v>3.3540000000000001</v>
      </c>
      <c r="F276" s="312">
        <v>2340000</v>
      </c>
      <c r="G276" s="317">
        <f t="shared" si="73"/>
        <v>94180320</v>
      </c>
      <c r="H276" s="317"/>
      <c r="I276" s="317"/>
      <c r="J276" s="317"/>
      <c r="K276" s="317">
        <f t="shared" si="74"/>
        <v>94180320</v>
      </c>
      <c r="L276" s="313"/>
    </row>
    <row r="277" spans="1:12" ht="22.5" hidden="1" customHeight="1" x14ac:dyDescent="0.25">
      <c r="A277" s="307" t="s">
        <v>287</v>
      </c>
      <c r="B277" s="315" t="s">
        <v>548</v>
      </c>
      <c r="C277" s="365" t="s">
        <v>526</v>
      </c>
      <c r="D277" s="365">
        <v>1</v>
      </c>
      <c r="E277" s="423">
        <v>1.8689999999999998</v>
      </c>
      <c r="F277" s="312">
        <v>2340000</v>
      </c>
      <c r="G277" s="317">
        <f t="shared" si="73"/>
        <v>52481519.999999985</v>
      </c>
      <c r="H277" s="317"/>
      <c r="I277" s="317"/>
      <c r="J277" s="317"/>
      <c r="K277" s="317">
        <f t="shared" si="74"/>
        <v>52481519.999999985</v>
      </c>
      <c r="L277" s="313"/>
    </row>
    <row r="278" spans="1:12" ht="22.5" hidden="1" customHeight="1" x14ac:dyDescent="0.25">
      <c r="A278" s="307" t="s">
        <v>287</v>
      </c>
      <c r="B278" s="315" t="s">
        <v>549</v>
      </c>
      <c r="C278" s="365" t="s">
        <v>526</v>
      </c>
      <c r="D278" s="365">
        <v>5</v>
      </c>
      <c r="E278" s="366">
        <v>3.3</v>
      </c>
      <c r="F278" s="312">
        <v>2340000</v>
      </c>
      <c r="G278" s="317">
        <f t="shared" si="73"/>
        <v>92664000</v>
      </c>
      <c r="H278" s="317"/>
      <c r="I278" s="317"/>
      <c r="J278" s="317"/>
      <c r="K278" s="317">
        <f t="shared" si="74"/>
        <v>92664000</v>
      </c>
      <c r="L278" s="313"/>
    </row>
    <row r="279" spans="1:12" ht="22.5" hidden="1" customHeight="1" x14ac:dyDescent="0.25">
      <c r="A279" s="307" t="s">
        <v>287</v>
      </c>
      <c r="B279" s="315" t="s">
        <v>550</v>
      </c>
      <c r="C279" s="365" t="s">
        <v>526</v>
      </c>
      <c r="D279" s="365">
        <v>6</v>
      </c>
      <c r="E279" s="424">
        <f>(E272+E273)*0.25</f>
        <v>5.3549999999999995</v>
      </c>
      <c r="F279" s="312">
        <v>2340000</v>
      </c>
      <c r="G279" s="317">
        <f t="shared" si="73"/>
        <v>150368399.99999997</v>
      </c>
      <c r="H279" s="317"/>
      <c r="I279" s="317"/>
      <c r="J279" s="317"/>
      <c r="K279" s="317">
        <f t="shared" si="74"/>
        <v>150368399.99999997</v>
      </c>
      <c r="L279" s="313"/>
    </row>
    <row r="280" spans="1:12" ht="22.5" hidden="1" customHeight="1" x14ac:dyDescent="0.25">
      <c r="A280" s="307" t="s">
        <v>593</v>
      </c>
      <c r="B280" s="315" t="s">
        <v>659</v>
      </c>
      <c r="C280" s="365" t="s">
        <v>526</v>
      </c>
      <c r="D280" s="365">
        <v>6</v>
      </c>
      <c r="E280" s="424">
        <v>0.9</v>
      </c>
      <c r="F280" s="312">
        <v>2340000</v>
      </c>
      <c r="G280" s="317">
        <f t="shared" si="73"/>
        <v>25272000</v>
      </c>
      <c r="H280" s="317"/>
      <c r="I280" s="317"/>
      <c r="J280" s="317"/>
      <c r="K280" s="317">
        <f t="shared" si="74"/>
        <v>25272000</v>
      </c>
      <c r="L280" s="313"/>
    </row>
    <row r="281" spans="1:12" ht="22.5" hidden="1" customHeight="1" x14ac:dyDescent="0.25">
      <c r="A281" s="307" t="s">
        <v>593</v>
      </c>
      <c r="B281" s="315" t="s">
        <v>660</v>
      </c>
      <c r="C281" s="365" t="s">
        <v>526</v>
      </c>
      <c r="D281" s="365">
        <v>1</v>
      </c>
      <c r="E281" s="424">
        <v>0.05</v>
      </c>
      <c r="F281" s="312">
        <v>2340000</v>
      </c>
      <c r="G281" s="317">
        <f t="shared" si="73"/>
        <v>1404000</v>
      </c>
      <c r="H281" s="317"/>
      <c r="I281" s="317"/>
      <c r="J281" s="317"/>
      <c r="K281" s="317">
        <f t="shared" si="74"/>
        <v>1404000</v>
      </c>
      <c r="L281" s="313"/>
    </row>
    <row r="282" spans="1:12" ht="22.5" hidden="1" customHeight="1" x14ac:dyDescent="0.25">
      <c r="A282" s="307" t="s">
        <v>556</v>
      </c>
      <c r="B282" s="315" t="s">
        <v>661</v>
      </c>
      <c r="C282" s="365" t="s">
        <v>526</v>
      </c>
      <c r="D282" s="365"/>
      <c r="E282" s="366"/>
      <c r="F282" s="312"/>
      <c r="G282" s="317"/>
      <c r="H282" s="317"/>
      <c r="I282" s="317"/>
      <c r="J282" s="317"/>
      <c r="K282" s="317">
        <f t="shared" si="74"/>
        <v>0</v>
      </c>
      <c r="L282" s="313"/>
    </row>
    <row r="283" spans="1:12" ht="22.5" hidden="1" customHeight="1" x14ac:dyDescent="0.25">
      <c r="A283" s="307" t="s">
        <v>287</v>
      </c>
      <c r="B283" s="315" t="s">
        <v>676</v>
      </c>
      <c r="C283" s="365" t="s">
        <v>526</v>
      </c>
      <c r="D283" s="365">
        <v>6</v>
      </c>
      <c r="E283" s="424">
        <f>(E272+E273+E275)*20.5%</f>
        <v>4.3910999999999998</v>
      </c>
      <c r="F283" s="312">
        <v>2340000</v>
      </c>
      <c r="G283" s="317">
        <f t="shared" si="73"/>
        <v>123302088</v>
      </c>
      <c r="H283" s="317"/>
      <c r="I283" s="317"/>
      <c r="J283" s="317"/>
      <c r="K283" s="317">
        <f t="shared" si="74"/>
        <v>123302088</v>
      </c>
      <c r="L283" s="313"/>
    </row>
    <row r="284" spans="1:12" ht="22.5" hidden="1" customHeight="1" x14ac:dyDescent="0.25">
      <c r="A284" s="241" t="s">
        <v>583</v>
      </c>
      <c r="B284" s="384" t="s">
        <v>662</v>
      </c>
      <c r="C284" s="365"/>
      <c r="D284" s="319"/>
      <c r="E284" s="423"/>
      <c r="F284" s="312"/>
      <c r="G284" s="491">
        <f>G285</f>
        <v>240000000</v>
      </c>
      <c r="H284" s="491">
        <f t="shared" ref="H284:K284" si="75">H285</f>
        <v>24000000</v>
      </c>
      <c r="I284" s="491">
        <f t="shared" si="75"/>
        <v>34300000</v>
      </c>
      <c r="J284" s="491"/>
      <c r="K284" s="491">
        <f t="shared" si="75"/>
        <v>181700000</v>
      </c>
      <c r="L284" s="313"/>
    </row>
    <row r="285" spans="1:12" ht="20.25" hidden="1" customHeight="1" x14ac:dyDescent="0.25">
      <c r="A285" s="307" t="s">
        <v>556</v>
      </c>
      <c r="B285" s="315" t="s">
        <v>663</v>
      </c>
      <c r="C285" s="365" t="s">
        <v>526</v>
      </c>
      <c r="D285" s="319">
        <v>6</v>
      </c>
      <c r="E285" s="423"/>
      <c r="F285" s="312">
        <v>40000000</v>
      </c>
      <c r="G285" s="317">
        <f>D285*F285</f>
        <v>240000000</v>
      </c>
      <c r="H285" s="317">
        <f>G285*0.1</f>
        <v>24000000</v>
      </c>
      <c r="I285" s="317">
        <f>5*710000+1*2340000+1410000+4500000*D285</f>
        <v>34300000</v>
      </c>
      <c r="J285" s="317"/>
      <c r="K285" s="317">
        <f>G285-H285-I285</f>
        <v>181700000</v>
      </c>
      <c r="L285" s="313"/>
    </row>
    <row r="286" spans="1:12" ht="20.25" hidden="1" customHeight="1" x14ac:dyDescent="0.25">
      <c r="A286" s="241" t="s">
        <v>585</v>
      </c>
      <c r="B286" s="384" t="s">
        <v>628</v>
      </c>
      <c r="C286" s="377"/>
      <c r="D286" s="367"/>
      <c r="E286" s="368"/>
      <c r="F286" s="369"/>
      <c r="G286" s="247">
        <f>SUM(G287:G296)</f>
        <v>693987000</v>
      </c>
      <c r="H286" s="247">
        <f>SUM(H287:H296)</f>
        <v>0</v>
      </c>
      <c r="I286" s="247">
        <f>SUM(I287:I296)</f>
        <v>0</v>
      </c>
      <c r="J286" s="247"/>
      <c r="K286" s="247">
        <f>SUM(K287:K296)</f>
        <v>318136000</v>
      </c>
      <c r="L286" s="313"/>
    </row>
    <row r="287" spans="1:12" ht="28.5" hidden="1" customHeight="1" x14ac:dyDescent="0.25">
      <c r="A287" s="241" t="s">
        <v>556</v>
      </c>
      <c r="B287" s="315" t="s">
        <v>677</v>
      </c>
      <c r="C287" s="365" t="s">
        <v>526</v>
      </c>
      <c r="D287" s="319">
        <v>35</v>
      </c>
      <c r="E287" s="316">
        <v>0.2</v>
      </c>
      <c r="F287" s="312"/>
      <c r="G287" s="254">
        <f>D287*E287*F287*12</f>
        <v>0</v>
      </c>
      <c r="H287" s="247"/>
      <c r="I287" s="247"/>
      <c r="J287" s="247"/>
      <c r="K287" s="317">
        <f>G287-H287-I287</f>
        <v>0</v>
      </c>
      <c r="L287" s="313"/>
    </row>
    <row r="288" spans="1:12" ht="22.5" hidden="1" customHeight="1" x14ac:dyDescent="0.25">
      <c r="A288" s="241" t="s">
        <v>556</v>
      </c>
      <c r="B288" s="315" t="s">
        <v>672</v>
      </c>
      <c r="C288" s="365" t="s">
        <v>526</v>
      </c>
      <c r="D288" s="319">
        <v>26</v>
      </c>
      <c r="E288" s="316">
        <v>6.7</v>
      </c>
      <c r="F288" s="312">
        <v>2340000</v>
      </c>
      <c r="G288" s="254">
        <f>E288*F288*12</f>
        <v>188136000</v>
      </c>
      <c r="H288" s="247"/>
      <c r="I288" s="247"/>
      <c r="J288" s="247"/>
      <c r="K288" s="317">
        <f>G288-H288-I288</f>
        <v>188136000</v>
      </c>
      <c r="L288" s="313"/>
    </row>
    <row r="289" spans="1:14" ht="45" hidden="1" x14ac:dyDescent="0.25">
      <c r="A289" s="241" t="s">
        <v>556</v>
      </c>
      <c r="B289" s="659" t="s">
        <v>678</v>
      </c>
      <c r="C289" s="660"/>
      <c r="D289" s="660"/>
      <c r="E289" s="661"/>
      <c r="F289" s="662"/>
      <c r="G289" s="254">
        <v>66000000</v>
      </c>
      <c r="H289" s="247"/>
      <c r="I289" s="247"/>
      <c r="J289" s="247"/>
      <c r="K289" s="317">
        <v>0</v>
      </c>
      <c r="L289" s="313"/>
    </row>
    <row r="290" spans="1:14" ht="45" hidden="1" x14ac:dyDescent="0.25">
      <c r="A290" s="241" t="s">
        <v>556</v>
      </c>
      <c r="B290" s="659" t="s">
        <v>679</v>
      </c>
      <c r="C290" s="663"/>
      <c r="D290" s="663"/>
      <c r="E290" s="659"/>
      <c r="F290" s="664"/>
      <c r="G290" s="254">
        <v>35104000</v>
      </c>
      <c r="H290" s="247"/>
      <c r="I290" s="247"/>
      <c r="J290" s="247"/>
      <c r="K290" s="317">
        <v>0</v>
      </c>
      <c r="L290" s="313"/>
    </row>
    <row r="291" spans="1:14" ht="22.5" hidden="1" customHeight="1" x14ac:dyDescent="0.25">
      <c r="A291" s="241" t="s">
        <v>556</v>
      </c>
      <c r="B291" s="656" t="s">
        <v>680</v>
      </c>
      <c r="C291" s="657"/>
      <c r="D291" s="657"/>
      <c r="E291" s="656"/>
      <c r="F291" s="658"/>
      <c r="G291" s="254">
        <v>74592000</v>
      </c>
      <c r="H291" s="247"/>
      <c r="I291" s="247"/>
      <c r="J291" s="247"/>
      <c r="K291" s="317">
        <v>0</v>
      </c>
      <c r="L291" s="313"/>
    </row>
    <row r="292" spans="1:14" ht="22.5" hidden="1" customHeight="1" x14ac:dyDescent="0.25">
      <c r="A292" s="241" t="s">
        <v>556</v>
      </c>
      <c r="B292" s="656" t="s">
        <v>681</v>
      </c>
      <c r="C292" s="657"/>
      <c r="D292" s="657"/>
      <c r="E292" s="656"/>
      <c r="F292" s="658"/>
      <c r="G292" s="254">
        <v>67212000</v>
      </c>
      <c r="H292" s="247"/>
      <c r="I292" s="247"/>
      <c r="J292" s="247"/>
      <c r="K292" s="317">
        <v>0</v>
      </c>
      <c r="L292" s="313"/>
    </row>
    <row r="293" spans="1:14" ht="22.5" hidden="1" customHeight="1" x14ac:dyDescent="0.25">
      <c r="A293" s="241" t="s">
        <v>593</v>
      </c>
      <c r="B293" s="656" t="s">
        <v>682</v>
      </c>
      <c r="C293" s="657"/>
      <c r="D293" s="657"/>
      <c r="E293" s="656"/>
      <c r="F293" s="658"/>
      <c r="G293" s="254">
        <v>26804000</v>
      </c>
      <c r="H293" s="247"/>
      <c r="I293" s="247"/>
      <c r="J293" s="247"/>
      <c r="K293" s="317">
        <v>0</v>
      </c>
      <c r="L293" s="313"/>
    </row>
    <row r="294" spans="1:14" ht="28.5" hidden="1" customHeight="1" x14ac:dyDescent="0.25">
      <c r="A294" s="241" t="s">
        <v>593</v>
      </c>
      <c r="B294" s="656" t="s">
        <v>683</v>
      </c>
      <c r="C294" s="657"/>
      <c r="D294" s="657"/>
      <c r="E294" s="656"/>
      <c r="F294" s="658"/>
      <c r="G294" s="254">
        <v>13725000</v>
      </c>
      <c r="H294" s="247"/>
      <c r="I294" s="247"/>
      <c r="J294" s="247"/>
      <c r="K294" s="317"/>
      <c r="L294" s="313"/>
    </row>
    <row r="295" spans="1:14" ht="22.5" hidden="1" customHeight="1" x14ac:dyDescent="0.25">
      <c r="A295" s="241" t="s">
        <v>593</v>
      </c>
      <c r="B295" s="656" t="s">
        <v>684</v>
      </c>
      <c r="C295" s="657"/>
      <c r="D295" s="657"/>
      <c r="E295" s="656"/>
      <c r="F295" s="658"/>
      <c r="G295" s="254">
        <v>186314000</v>
      </c>
      <c r="H295" s="247"/>
      <c r="I295" s="247"/>
      <c r="J295" s="247"/>
      <c r="K295" s="317">
        <v>130000000</v>
      </c>
      <c r="L295" s="316"/>
      <c r="M295" s="242" t="s">
        <v>685</v>
      </c>
    </row>
    <row r="296" spans="1:14" ht="32.25" hidden="1" customHeight="1" x14ac:dyDescent="0.25">
      <c r="A296" s="241" t="s">
        <v>593</v>
      </c>
      <c r="B296" s="665" t="s">
        <v>686</v>
      </c>
      <c r="C296" s="102"/>
      <c r="D296" s="102"/>
      <c r="E296" s="103"/>
      <c r="F296" s="666"/>
      <c r="G296" s="254">
        <v>36100000</v>
      </c>
      <c r="H296" s="247"/>
      <c r="I296" s="247"/>
      <c r="J296" s="247"/>
      <c r="K296" s="317">
        <v>0</v>
      </c>
      <c r="L296" s="313"/>
    </row>
    <row r="297" spans="1:14" ht="27.75" hidden="1" customHeight="1" x14ac:dyDescent="0.25">
      <c r="A297" s="241" t="s">
        <v>585</v>
      </c>
      <c r="B297" s="384" t="s">
        <v>671</v>
      </c>
      <c r="C297" s="365" t="s">
        <v>526</v>
      </c>
      <c r="D297" s="367">
        <v>6</v>
      </c>
      <c r="E297" s="368">
        <f>20.72*10%</f>
        <v>2.0720000000000001</v>
      </c>
      <c r="F297" s="369">
        <v>2340000</v>
      </c>
      <c r="G297" s="247">
        <f>E297*F297*12</f>
        <v>58181760</v>
      </c>
      <c r="H297" s="247"/>
      <c r="I297" s="247"/>
      <c r="J297" s="247"/>
      <c r="K297" s="491">
        <f t="shared" ref="K297" si="76">G297-H297-I297</f>
        <v>58181760</v>
      </c>
      <c r="L297" s="313"/>
    </row>
    <row r="298" spans="1:14" s="437" customFormat="1" ht="25.5" customHeight="1" x14ac:dyDescent="0.25">
      <c r="A298" s="300" t="s">
        <v>31</v>
      </c>
      <c r="B298" s="475" t="s">
        <v>203</v>
      </c>
      <c r="C298" s="498" t="s">
        <v>526</v>
      </c>
      <c r="D298" s="302">
        <v>5</v>
      </c>
      <c r="E298" s="475"/>
      <c r="F298" s="304"/>
      <c r="G298" s="304">
        <f>SUM(G299:G301)</f>
        <v>1352403424.6399999</v>
      </c>
      <c r="H298" s="304">
        <f t="shared" ref="H298:K298" si="77">SUM(H299:H301)</f>
        <v>20000000</v>
      </c>
      <c r="I298" s="304">
        <f t="shared" si="77"/>
        <v>29090000</v>
      </c>
      <c r="J298" s="304"/>
      <c r="K298" s="304">
        <f t="shared" si="77"/>
        <v>1303313999.9999998</v>
      </c>
      <c r="L298" s="436"/>
      <c r="M298" s="306"/>
      <c r="N298" s="570">
        <f>N299+N300</f>
        <v>1303313999.9999998</v>
      </c>
    </row>
    <row r="299" spans="1:14" ht="24" customHeight="1" x14ac:dyDescent="0.25">
      <c r="A299" s="307">
        <v>1</v>
      </c>
      <c r="B299" s="458" t="s">
        <v>527</v>
      </c>
      <c r="C299" s="319" t="s">
        <v>526</v>
      </c>
      <c r="D299" s="319">
        <v>5</v>
      </c>
      <c r="E299" s="419"/>
      <c r="F299" s="312"/>
      <c r="G299" s="312">
        <f>G303</f>
        <v>1101943664.6399999</v>
      </c>
      <c r="H299" s="312"/>
      <c r="I299" s="312"/>
      <c r="J299" s="312"/>
      <c r="K299" s="440">
        <f>G299+335+0.36</f>
        <v>1101943999.9999998</v>
      </c>
      <c r="L299" s="313"/>
      <c r="M299" s="242" t="s">
        <v>893</v>
      </c>
      <c r="N299" s="293">
        <f>K298</f>
        <v>1303313999.9999998</v>
      </c>
    </row>
    <row r="300" spans="1:14" ht="32.25" customHeight="1" x14ac:dyDescent="0.25">
      <c r="A300" s="307">
        <v>2</v>
      </c>
      <c r="B300" s="412" t="s">
        <v>528</v>
      </c>
      <c r="C300" s="319" t="s">
        <v>526</v>
      </c>
      <c r="D300" s="319">
        <v>5</v>
      </c>
      <c r="E300" s="316"/>
      <c r="F300" s="444">
        <v>40000000</v>
      </c>
      <c r="G300" s="425">
        <f>D300*F300</f>
        <v>200000000</v>
      </c>
      <c r="H300" s="425">
        <f>G300*0.1</f>
        <v>20000000</v>
      </c>
      <c r="I300" s="317">
        <f>4*710000+1*2340000+1410000+4500000*D300</f>
        <v>29090000</v>
      </c>
      <c r="J300" s="317"/>
      <c r="K300" s="425">
        <f>G300-H300-I300</f>
        <v>150910000</v>
      </c>
      <c r="L300" s="313"/>
      <c r="M300" s="242" t="s">
        <v>894</v>
      </c>
      <c r="N300" s="293"/>
    </row>
    <row r="301" spans="1:14" ht="27" customHeight="1" x14ac:dyDescent="0.25">
      <c r="A301" s="307">
        <v>3</v>
      </c>
      <c r="B301" s="318" t="s">
        <v>531</v>
      </c>
      <c r="C301" s="319" t="s">
        <v>526</v>
      </c>
      <c r="D301" s="319">
        <v>5</v>
      </c>
      <c r="E301" s="419">
        <v>17.97</v>
      </c>
      <c r="F301" s="312">
        <v>234000</v>
      </c>
      <c r="G301" s="312">
        <f>F301*E301*12</f>
        <v>50459760</v>
      </c>
      <c r="H301" s="312"/>
      <c r="I301" s="312"/>
      <c r="J301" s="312"/>
      <c r="K301" s="312">
        <f>G301+240</f>
        <v>50460000</v>
      </c>
      <c r="L301" s="313"/>
    </row>
    <row r="302" spans="1:14" s="489" customFormat="1" ht="18.75" hidden="1" customHeight="1" x14ac:dyDescent="0.25">
      <c r="A302" s="333"/>
      <c r="B302" s="481" t="s">
        <v>687</v>
      </c>
      <c r="C302" s="482"/>
      <c r="D302" s="483"/>
      <c r="E302" s="484"/>
      <c r="F302" s="337"/>
      <c r="G302" s="486">
        <f>G303+G317+G319+G323</f>
        <v>1398551424.6399999</v>
      </c>
      <c r="H302" s="486">
        <f t="shared" ref="H302:K302" si="78">H303+H317+H319+H323</f>
        <v>20000000</v>
      </c>
      <c r="I302" s="486">
        <f t="shared" si="78"/>
        <v>29090000</v>
      </c>
      <c r="J302" s="486"/>
      <c r="K302" s="486">
        <f t="shared" si="78"/>
        <v>1303313664.6399999</v>
      </c>
      <c r="L302" s="488"/>
    </row>
    <row r="303" spans="1:14" hidden="1" x14ac:dyDescent="0.25">
      <c r="A303" s="241" t="s">
        <v>576</v>
      </c>
      <c r="B303" s="490" t="s">
        <v>635</v>
      </c>
      <c r="C303" s="294"/>
      <c r="D303" s="294"/>
      <c r="E303" s="299"/>
      <c r="F303" s="369"/>
      <c r="G303" s="491">
        <f>G304</f>
        <v>1101943664.6399999</v>
      </c>
      <c r="H303" s="491">
        <f>H304</f>
        <v>0</v>
      </c>
      <c r="I303" s="491">
        <f>I304</f>
        <v>0</v>
      </c>
      <c r="J303" s="491"/>
      <c r="K303" s="491">
        <f>K304</f>
        <v>1101943664.6399999</v>
      </c>
      <c r="L303" s="313"/>
    </row>
    <row r="304" spans="1:14" hidden="1" x14ac:dyDescent="0.25">
      <c r="A304" s="343" t="s">
        <v>541</v>
      </c>
      <c r="B304" s="492" t="s">
        <v>636</v>
      </c>
      <c r="C304" s="345"/>
      <c r="D304" s="345">
        <v>5</v>
      </c>
      <c r="E304" s="493">
        <f>SUM(E305:E316)</f>
        <v>39.243007999999989</v>
      </c>
      <c r="F304" s="347"/>
      <c r="G304" s="494">
        <f>SUM(G305:G316)</f>
        <v>1101943664.6399999</v>
      </c>
      <c r="H304" s="494">
        <f>SUM(H305:H316)</f>
        <v>0</v>
      </c>
      <c r="I304" s="494">
        <f>SUM(I305:I316)</f>
        <v>0</v>
      </c>
      <c r="J304" s="494"/>
      <c r="K304" s="494">
        <f>SUM(K305:K316)</f>
        <v>1101943664.6399999</v>
      </c>
      <c r="L304" s="313"/>
    </row>
    <row r="305" spans="1:12" ht="17.25" hidden="1" customHeight="1" x14ac:dyDescent="0.25">
      <c r="A305" s="307" t="s">
        <v>287</v>
      </c>
      <c r="B305" s="315" t="s">
        <v>543</v>
      </c>
      <c r="C305" s="365" t="s">
        <v>526</v>
      </c>
      <c r="D305" s="365">
        <v>5</v>
      </c>
      <c r="E305" s="422">
        <v>17.97</v>
      </c>
      <c r="F305" s="312">
        <v>2340000</v>
      </c>
      <c r="G305" s="317">
        <f t="shared" ref="G305:G316" si="79">E305*F305*12</f>
        <v>504597600</v>
      </c>
      <c r="H305" s="317"/>
      <c r="I305" s="317"/>
      <c r="J305" s="317"/>
      <c r="K305" s="317">
        <f t="shared" ref="K305:K318" si="80">G305-H305-I305</f>
        <v>504597600</v>
      </c>
      <c r="L305" s="313"/>
    </row>
    <row r="306" spans="1:12" ht="17.25" hidden="1" customHeight="1" x14ac:dyDescent="0.25">
      <c r="A306" s="307" t="s">
        <v>287</v>
      </c>
      <c r="B306" s="315" t="s">
        <v>544</v>
      </c>
      <c r="C306" s="365" t="s">
        <v>526</v>
      </c>
      <c r="D306" s="365">
        <v>3</v>
      </c>
      <c r="E306" s="366">
        <f>0.95-0.2-0.3</f>
        <v>0.45</v>
      </c>
      <c r="F306" s="312">
        <v>2340000</v>
      </c>
      <c r="G306" s="317">
        <f t="shared" si="79"/>
        <v>12636000</v>
      </c>
      <c r="H306" s="317"/>
      <c r="I306" s="317"/>
      <c r="J306" s="317"/>
      <c r="K306" s="317">
        <f t="shared" si="80"/>
        <v>12636000</v>
      </c>
      <c r="L306" s="313"/>
    </row>
    <row r="307" spans="1:12" ht="17.25" hidden="1" customHeight="1" x14ac:dyDescent="0.25">
      <c r="A307" s="307" t="s">
        <v>287</v>
      </c>
      <c r="B307" s="315" t="s">
        <v>546</v>
      </c>
      <c r="C307" s="365" t="s">
        <v>526</v>
      </c>
      <c r="D307" s="365">
        <v>5</v>
      </c>
      <c r="E307" s="366">
        <v>3.5</v>
      </c>
      <c r="F307" s="312">
        <v>2340000</v>
      </c>
      <c r="G307" s="317">
        <f t="shared" si="79"/>
        <v>98280000</v>
      </c>
      <c r="H307" s="317"/>
      <c r="I307" s="317"/>
      <c r="J307" s="317"/>
      <c r="K307" s="317">
        <f t="shared" si="80"/>
        <v>98280000</v>
      </c>
      <c r="L307" s="313"/>
    </row>
    <row r="308" spans="1:12" ht="17.25" hidden="1" customHeight="1" x14ac:dyDescent="0.25">
      <c r="A308" s="307" t="s">
        <v>556</v>
      </c>
      <c r="B308" s="315" t="s">
        <v>675</v>
      </c>
      <c r="C308" s="365" t="s">
        <v>526</v>
      </c>
      <c r="D308" s="365">
        <v>1</v>
      </c>
      <c r="E308" s="423">
        <v>0.35760000000000008</v>
      </c>
      <c r="F308" s="312">
        <v>2340000</v>
      </c>
      <c r="G308" s="317">
        <f t="shared" si="79"/>
        <v>10041408.000000004</v>
      </c>
      <c r="H308" s="317"/>
      <c r="I308" s="317"/>
      <c r="J308" s="317"/>
      <c r="K308" s="317">
        <f t="shared" si="80"/>
        <v>10041408.000000004</v>
      </c>
      <c r="L308" s="313"/>
    </row>
    <row r="309" spans="1:12" ht="17.25" hidden="1" customHeight="1" x14ac:dyDescent="0.25">
      <c r="A309" s="307" t="s">
        <v>287</v>
      </c>
      <c r="B309" s="315" t="s">
        <v>658</v>
      </c>
      <c r="C309" s="365" t="s">
        <v>526</v>
      </c>
      <c r="D309" s="365">
        <v>2</v>
      </c>
      <c r="E309" s="423">
        <v>2.1419999999999999</v>
      </c>
      <c r="F309" s="312">
        <v>2340000</v>
      </c>
      <c r="G309" s="317">
        <f t="shared" si="79"/>
        <v>60147360</v>
      </c>
      <c r="H309" s="317"/>
      <c r="I309" s="317"/>
      <c r="J309" s="317"/>
      <c r="K309" s="317">
        <f t="shared" si="80"/>
        <v>60147360</v>
      </c>
      <c r="L309" s="313"/>
    </row>
    <row r="310" spans="1:12" ht="17.25" hidden="1" customHeight="1" x14ac:dyDescent="0.25">
      <c r="A310" s="307" t="s">
        <v>287</v>
      </c>
      <c r="B310" s="315" t="s">
        <v>548</v>
      </c>
      <c r="C310" s="365" t="s">
        <v>526</v>
      </c>
      <c r="D310" s="365">
        <v>1</v>
      </c>
      <c r="E310" s="423">
        <v>1.869</v>
      </c>
      <c r="F310" s="312">
        <v>2340000</v>
      </c>
      <c r="G310" s="317">
        <f t="shared" si="79"/>
        <v>52481520</v>
      </c>
      <c r="H310" s="317"/>
      <c r="I310" s="317"/>
      <c r="J310" s="317"/>
      <c r="K310" s="317">
        <f t="shared" si="80"/>
        <v>52481520</v>
      </c>
      <c r="L310" s="313"/>
    </row>
    <row r="311" spans="1:12" ht="17.25" hidden="1" customHeight="1" x14ac:dyDescent="0.25">
      <c r="A311" s="307" t="s">
        <v>287</v>
      </c>
      <c r="B311" s="315" t="s">
        <v>549</v>
      </c>
      <c r="C311" s="365" t="s">
        <v>526</v>
      </c>
      <c r="D311" s="365">
        <v>4</v>
      </c>
      <c r="E311" s="366">
        <v>3.7</v>
      </c>
      <c r="F311" s="312">
        <v>2340000</v>
      </c>
      <c r="G311" s="317">
        <f t="shared" si="79"/>
        <v>103896000</v>
      </c>
      <c r="H311" s="317"/>
      <c r="I311" s="317"/>
      <c r="J311" s="317"/>
      <c r="K311" s="317">
        <f t="shared" si="80"/>
        <v>103896000</v>
      </c>
      <c r="L311" s="313"/>
    </row>
    <row r="312" spans="1:12" ht="17.25" hidden="1" customHeight="1" x14ac:dyDescent="0.25">
      <c r="A312" s="307" t="s">
        <v>287</v>
      </c>
      <c r="B312" s="315" t="s">
        <v>550</v>
      </c>
      <c r="C312" s="365" t="s">
        <v>526</v>
      </c>
      <c r="D312" s="365">
        <v>5</v>
      </c>
      <c r="E312" s="424">
        <f>(E305+E306)*25%</f>
        <v>4.6049999999999995</v>
      </c>
      <c r="F312" s="312">
        <v>2340000</v>
      </c>
      <c r="G312" s="317">
        <f t="shared" si="79"/>
        <v>129308399.99999997</v>
      </c>
      <c r="H312" s="317"/>
      <c r="I312" s="317"/>
      <c r="J312" s="317"/>
      <c r="K312" s="317">
        <f t="shared" si="80"/>
        <v>129308399.99999997</v>
      </c>
      <c r="L312" s="313"/>
    </row>
    <row r="313" spans="1:12" ht="17.25" hidden="1" customHeight="1" x14ac:dyDescent="0.25">
      <c r="A313" s="307" t="s">
        <v>593</v>
      </c>
      <c r="B313" s="315" t="s">
        <v>659</v>
      </c>
      <c r="C313" s="365" t="s">
        <v>526</v>
      </c>
      <c r="D313" s="365">
        <v>5</v>
      </c>
      <c r="E313" s="424">
        <v>0.75</v>
      </c>
      <c r="F313" s="312">
        <v>2340000</v>
      </c>
      <c r="G313" s="317">
        <f t="shared" si="79"/>
        <v>21060000</v>
      </c>
      <c r="H313" s="317"/>
      <c r="I313" s="317"/>
      <c r="J313" s="317"/>
      <c r="K313" s="317">
        <f t="shared" si="80"/>
        <v>21060000</v>
      </c>
      <c r="L313" s="313"/>
    </row>
    <row r="314" spans="1:12" ht="17.25" hidden="1" customHeight="1" x14ac:dyDescent="0.25">
      <c r="A314" s="307" t="s">
        <v>593</v>
      </c>
      <c r="B314" s="315" t="s">
        <v>660</v>
      </c>
      <c r="C314" s="365" t="s">
        <v>526</v>
      </c>
      <c r="D314" s="365">
        <v>1</v>
      </c>
      <c r="E314" s="424">
        <v>0.05</v>
      </c>
      <c r="F314" s="312">
        <v>2340000</v>
      </c>
      <c r="G314" s="317">
        <f t="shared" si="79"/>
        <v>1404000</v>
      </c>
      <c r="H314" s="317"/>
      <c r="I314" s="317"/>
      <c r="J314" s="317"/>
      <c r="K314" s="317">
        <f t="shared" si="80"/>
        <v>1404000</v>
      </c>
      <c r="L314" s="313"/>
    </row>
    <row r="315" spans="1:12" ht="17.25" hidden="1" customHeight="1" x14ac:dyDescent="0.25">
      <c r="A315" s="307" t="s">
        <v>556</v>
      </c>
      <c r="B315" s="315" t="s">
        <v>661</v>
      </c>
      <c r="C315" s="365" t="s">
        <v>526</v>
      </c>
      <c r="D315" s="365">
        <v>2</v>
      </c>
      <c r="E315" s="366"/>
      <c r="F315" s="312">
        <v>2340000</v>
      </c>
      <c r="G315" s="317">
        <f t="shared" si="79"/>
        <v>0</v>
      </c>
      <c r="H315" s="317"/>
      <c r="I315" s="317"/>
      <c r="J315" s="317"/>
      <c r="K315" s="317">
        <f t="shared" si="80"/>
        <v>0</v>
      </c>
      <c r="L315" s="313"/>
    </row>
    <row r="316" spans="1:12" ht="17.25" hidden="1" customHeight="1" x14ac:dyDescent="0.25">
      <c r="A316" s="307" t="s">
        <v>287</v>
      </c>
      <c r="B316" s="315" t="s">
        <v>551</v>
      </c>
      <c r="C316" s="365" t="s">
        <v>526</v>
      </c>
      <c r="D316" s="365">
        <v>5</v>
      </c>
      <c r="E316" s="424">
        <f>(E305+E306+E308)*20.5%</f>
        <v>3.8494079999999995</v>
      </c>
      <c r="F316" s="312">
        <v>2340000</v>
      </c>
      <c r="G316" s="317">
        <f t="shared" si="79"/>
        <v>108091376.63999999</v>
      </c>
      <c r="H316" s="317"/>
      <c r="I316" s="317"/>
      <c r="J316" s="317"/>
      <c r="K316" s="317">
        <f t="shared" si="80"/>
        <v>108091376.63999999</v>
      </c>
      <c r="L316" s="313"/>
    </row>
    <row r="317" spans="1:12" ht="17.25" hidden="1" customHeight="1" x14ac:dyDescent="0.25">
      <c r="A317" s="241" t="s">
        <v>583</v>
      </c>
      <c r="B317" s="384" t="s">
        <v>662</v>
      </c>
      <c r="C317" s="365"/>
      <c r="D317" s="319"/>
      <c r="E317" s="423"/>
      <c r="F317" s="312"/>
      <c r="G317" s="491">
        <f>G318</f>
        <v>200000000</v>
      </c>
      <c r="H317" s="491">
        <f t="shared" ref="H317:K317" si="81">H318</f>
        <v>20000000</v>
      </c>
      <c r="I317" s="491">
        <f t="shared" si="81"/>
        <v>29090000</v>
      </c>
      <c r="J317" s="491"/>
      <c r="K317" s="491">
        <f t="shared" si="81"/>
        <v>150910000</v>
      </c>
      <c r="L317" s="313"/>
    </row>
    <row r="318" spans="1:12" ht="17.25" hidden="1" customHeight="1" x14ac:dyDescent="0.25">
      <c r="A318" s="307" t="s">
        <v>556</v>
      </c>
      <c r="B318" s="315" t="s">
        <v>663</v>
      </c>
      <c r="C318" s="365" t="s">
        <v>526</v>
      </c>
      <c r="D318" s="319">
        <v>5</v>
      </c>
      <c r="E318" s="423"/>
      <c r="F318" s="312">
        <v>40000000</v>
      </c>
      <c r="G318" s="317">
        <f>D318*F318</f>
        <v>200000000</v>
      </c>
      <c r="H318" s="317">
        <f>G318*0.1</f>
        <v>20000000</v>
      </c>
      <c r="I318" s="317">
        <f>4*710000+1*2340000+1410000+4500000*D318</f>
        <v>29090000</v>
      </c>
      <c r="J318" s="317"/>
      <c r="K318" s="317">
        <f t="shared" si="80"/>
        <v>150910000</v>
      </c>
      <c r="L318" s="313"/>
    </row>
    <row r="319" spans="1:12" ht="17.25" hidden="1" customHeight="1" x14ac:dyDescent="0.25">
      <c r="A319" s="241" t="s">
        <v>585</v>
      </c>
      <c r="B319" s="384" t="s">
        <v>628</v>
      </c>
      <c r="C319" s="377"/>
      <c r="D319" s="367"/>
      <c r="E319" s="368"/>
      <c r="F319" s="369"/>
      <c r="G319" s="247">
        <f>G320+G321+G322</f>
        <v>46148000</v>
      </c>
      <c r="H319" s="247">
        <f>H320+H321+H322</f>
        <v>0</v>
      </c>
      <c r="I319" s="247">
        <f>I320+I321+I322</f>
        <v>0</v>
      </c>
      <c r="J319" s="247"/>
      <c r="K319" s="247">
        <f>K320+K321+K322</f>
        <v>0</v>
      </c>
      <c r="L319" s="313"/>
    </row>
    <row r="320" spans="1:12" ht="42.75" hidden="1" customHeight="1" x14ac:dyDescent="0.25">
      <c r="A320" s="241" t="s">
        <v>556</v>
      </c>
      <c r="B320" s="667" t="s">
        <v>688</v>
      </c>
      <c r="C320" s="377"/>
      <c r="D320" s="367"/>
      <c r="E320" s="368"/>
      <c r="F320" s="369"/>
      <c r="G320" s="254">
        <v>3304000</v>
      </c>
      <c r="H320" s="247"/>
      <c r="I320" s="247"/>
      <c r="J320" s="247"/>
      <c r="K320" s="317">
        <v>0</v>
      </c>
      <c r="L320" s="313"/>
    </row>
    <row r="321" spans="1:15" ht="30.75" hidden="1" customHeight="1" x14ac:dyDescent="0.25">
      <c r="A321" s="241" t="s">
        <v>556</v>
      </c>
      <c r="B321" s="438" t="s">
        <v>689</v>
      </c>
      <c r="C321" s="377"/>
      <c r="D321" s="367"/>
      <c r="E321" s="368"/>
      <c r="F321" s="369"/>
      <c r="G321" s="254">
        <v>3244000</v>
      </c>
      <c r="H321" s="247"/>
      <c r="I321" s="247"/>
      <c r="J321" s="247"/>
      <c r="K321" s="317">
        <v>0</v>
      </c>
      <c r="L321" s="313"/>
    </row>
    <row r="322" spans="1:15" ht="21" hidden="1" customHeight="1" x14ac:dyDescent="0.25">
      <c r="A322" s="241" t="s">
        <v>556</v>
      </c>
      <c r="B322" s="438" t="s">
        <v>690</v>
      </c>
      <c r="C322" s="377"/>
      <c r="D322" s="367"/>
      <c r="E322" s="368"/>
      <c r="F322" s="369"/>
      <c r="G322" s="254">
        <v>39600000</v>
      </c>
      <c r="H322" s="247"/>
      <c r="I322" s="247"/>
      <c r="J322" s="247"/>
      <c r="K322" s="317">
        <v>0</v>
      </c>
      <c r="L322" s="313"/>
    </row>
    <row r="323" spans="1:15" ht="33" hidden="1" customHeight="1" x14ac:dyDescent="0.25">
      <c r="A323" s="241" t="s">
        <v>585</v>
      </c>
      <c r="B323" s="384" t="s">
        <v>671</v>
      </c>
      <c r="C323" s="365" t="s">
        <v>526</v>
      </c>
      <c r="D323" s="367">
        <v>5</v>
      </c>
      <c r="E323" s="368">
        <f>17.97*10%</f>
        <v>1.7969999999999999</v>
      </c>
      <c r="F323" s="369">
        <v>2340000</v>
      </c>
      <c r="G323" s="247">
        <f>E323*F323*12</f>
        <v>50459760</v>
      </c>
      <c r="H323" s="247"/>
      <c r="I323" s="247"/>
      <c r="J323" s="247"/>
      <c r="K323" s="247">
        <v>50460000</v>
      </c>
      <c r="L323" s="313"/>
    </row>
    <row r="324" spans="1:15" s="510" customFormat="1" ht="24.75" customHeight="1" x14ac:dyDescent="0.25">
      <c r="A324" s="502" t="s">
        <v>49</v>
      </c>
      <c r="B324" s="503" t="s">
        <v>691</v>
      </c>
      <c r="C324" s="504" t="s">
        <v>526</v>
      </c>
      <c r="D324" s="505">
        <v>10</v>
      </c>
      <c r="E324" s="679"/>
      <c r="F324" s="680"/>
      <c r="G324" s="680">
        <f>G325</f>
        <v>4747902656</v>
      </c>
      <c r="H324" s="680">
        <f t="shared" ref="H324:K324" si="82">H325</f>
        <v>40000000</v>
      </c>
      <c r="I324" s="680">
        <f t="shared" si="82"/>
        <v>10140000</v>
      </c>
      <c r="J324" s="680"/>
      <c r="K324" s="680">
        <f t="shared" si="82"/>
        <v>4697762000</v>
      </c>
      <c r="L324" s="681"/>
    </row>
    <row r="325" spans="1:15" s="306" customFormat="1" ht="25.5" customHeight="1" x14ac:dyDescent="0.25">
      <c r="A325" s="300" t="s">
        <v>23</v>
      </c>
      <c r="B325" s="475" t="s">
        <v>692</v>
      </c>
      <c r="C325" s="498" t="s">
        <v>526</v>
      </c>
      <c r="D325" s="302">
        <v>10</v>
      </c>
      <c r="E325" s="475"/>
      <c r="F325" s="304"/>
      <c r="G325" s="304">
        <f>G326+G327+G328+G329+G330+G333+G339+G345+G346</f>
        <v>4747902656</v>
      </c>
      <c r="H325" s="304">
        <f t="shared" ref="H325:K325" si="83">H326+H327+H328+H329+H330+H333+H339+H345+H346</f>
        <v>40000000</v>
      </c>
      <c r="I325" s="304">
        <f t="shared" si="83"/>
        <v>10140000</v>
      </c>
      <c r="J325" s="304"/>
      <c r="K325" s="304">
        <f t="shared" si="83"/>
        <v>4697762000</v>
      </c>
      <c r="L325" s="305"/>
      <c r="N325" s="570">
        <f>N326+N327</f>
        <v>4697762000</v>
      </c>
      <c r="O325" s="570">
        <f>K325-N325</f>
        <v>0</v>
      </c>
    </row>
    <row r="326" spans="1:15" ht="22.5" customHeight="1" x14ac:dyDescent="0.25">
      <c r="A326" s="307">
        <v>1</v>
      </c>
      <c r="B326" s="458" t="s">
        <v>527</v>
      </c>
      <c r="C326" s="319" t="s">
        <v>526</v>
      </c>
      <c r="D326" s="319">
        <v>10</v>
      </c>
      <c r="E326" s="419"/>
      <c r="F326" s="312"/>
      <c r="G326" s="312">
        <f>G348</f>
        <v>1840761936.0000002</v>
      </c>
      <c r="H326" s="312"/>
      <c r="I326" s="312"/>
      <c r="J326" s="312"/>
      <c r="K326" s="312">
        <f>G326+64</f>
        <v>1840762000.0000002</v>
      </c>
      <c r="L326" s="313"/>
      <c r="M326" s="242" t="s">
        <v>893</v>
      </c>
      <c r="N326" s="293">
        <f>K326+K327+K329+K330+K333+K339+K345+K346</f>
        <v>3303538000</v>
      </c>
    </row>
    <row r="327" spans="1:15" ht="33.75" customHeight="1" x14ac:dyDescent="0.25">
      <c r="A327" s="307">
        <v>2</v>
      </c>
      <c r="B327" s="412" t="s">
        <v>528</v>
      </c>
      <c r="C327" s="319" t="s">
        <v>526</v>
      </c>
      <c r="D327" s="319">
        <v>10</v>
      </c>
      <c r="E327" s="316"/>
      <c r="F327" s="444">
        <v>40000000</v>
      </c>
      <c r="G327" s="425">
        <f>D327*F327</f>
        <v>400000000</v>
      </c>
      <c r="H327" s="425">
        <f>G327*0.1</f>
        <v>40000000</v>
      </c>
      <c r="I327" s="317">
        <f>9*710000+1*2340000+1*1410000</f>
        <v>10140000</v>
      </c>
      <c r="J327" s="317"/>
      <c r="K327" s="425">
        <f>G327-H327-I327</f>
        <v>349860000</v>
      </c>
      <c r="L327" s="313"/>
      <c r="M327" s="242" t="s">
        <v>894</v>
      </c>
      <c r="N327" s="293">
        <f>K328</f>
        <v>1394224000</v>
      </c>
    </row>
    <row r="328" spans="1:15" ht="31.5" customHeight="1" x14ac:dyDescent="0.25">
      <c r="A328" s="307">
        <v>3</v>
      </c>
      <c r="B328" s="315" t="s">
        <v>529</v>
      </c>
      <c r="C328" s="365"/>
      <c r="D328" s="319"/>
      <c r="E328" s="316"/>
      <c r="F328" s="312"/>
      <c r="G328" s="440">
        <f>G363+200</f>
        <v>1394224000</v>
      </c>
      <c r="H328" s="440"/>
      <c r="I328" s="440"/>
      <c r="J328" s="440"/>
      <c r="K328" s="440">
        <f>G328</f>
        <v>1394224000</v>
      </c>
      <c r="L328" s="313"/>
    </row>
    <row r="329" spans="1:15" ht="22.5" customHeight="1" x14ac:dyDescent="0.25">
      <c r="A329" s="307">
        <v>4</v>
      </c>
      <c r="B329" s="318" t="s">
        <v>531</v>
      </c>
      <c r="C329" s="319" t="s">
        <v>526</v>
      </c>
      <c r="D329" s="319">
        <v>10</v>
      </c>
      <c r="E329" s="316">
        <v>33.090000000000003</v>
      </c>
      <c r="F329" s="312">
        <v>234000</v>
      </c>
      <c r="G329" s="312">
        <f>F329*E329*12</f>
        <v>92916720.000000015</v>
      </c>
      <c r="H329" s="312"/>
      <c r="I329" s="312"/>
      <c r="J329" s="312"/>
      <c r="K329" s="312">
        <f>G329-720</f>
        <v>92916000.000000015</v>
      </c>
      <c r="L329" s="313"/>
    </row>
    <row r="330" spans="1:15" ht="38.25" customHeight="1" x14ac:dyDescent="0.25">
      <c r="A330" s="307">
        <v>5</v>
      </c>
      <c r="B330" s="318" t="s">
        <v>693</v>
      </c>
      <c r="C330" s="365"/>
      <c r="D330" s="319"/>
      <c r="E330" s="316"/>
      <c r="F330" s="312"/>
      <c r="G330" s="254">
        <f>G331+G332</f>
        <v>436000000</v>
      </c>
      <c r="H330" s="254"/>
      <c r="I330" s="254"/>
      <c r="J330" s="254"/>
      <c r="K330" s="254">
        <f t="shared" ref="K330:K332" si="84">G330-H330-I330</f>
        <v>436000000</v>
      </c>
      <c r="L330" s="313"/>
    </row>
    <row r="331" spans="1:15" ht="23.25" customHeight="1" x14ac:dyDescent="0.25">
      <c r="A331" s="307" t="s">
        <v>287</v>
      </c>
      <c r="B331" s="499" t="s">
        <v>694</v>
      </c>
      <c r="C331" s="365" t="s">
        <v>535</v>
      </c>
      <c r="D331" s="319">
        <v>1</v>
      </c>
      <c r="E331" s="316"/>
      <c r="F331" s="312">
        <v>120000000</v>
      </c>
      <c r="G331" s="254">
        <f>D331*F331</f>
        <v>120000000</v>
      </c>
      <c r="H331" s="254"/>
      <c r="I331" s="254"/>
      <c r="J331" s="254"/>
      <c r="K331" s="254">
        <f t="shared" si="84"/>
        <v>120000000</v>
      </c>
      <c r="L331" s="313"/>
    </row>
    <row r="332" spans="1:15" ht="23.25" customHeight="1" x14ac:dyDescent="0.25">
      <c r="A332" s="307" t="s">
        <v>287</v>
      </c>
      <c r="B332" s="499" t="s">
        <v>695</v>
      </c>
      <c r="C332" s="365" t="s">
        <v>696</v>
      </c>
      <c r="D332" s="319">
        <v>33</v>
      </c>
      <c r="E332" s="316"/>
      <c r="F332" s="312"/>
      <c r="G332" s="254">
        <f>G376</f>
        <v>316000000</v>
      </c>
      <c r="H332" s="254"/>
      <c r="I332" s="254"/>
      <c r="J332" s="254"/>
      <c r="K332" s="254">
        <f t="shared" si="84"/>
        <v>316000000</v>
      </c>
      <c r="L332" s="313"/>
    </row>
    <row r="333" spans="1:15" ht="33.75" customHeight="1" x14ac:dyDescent="0.25">
      <c r="A333" s="307">
        <v>6</v>
      </c>
      <c r="B333" s="318" t="s">
        <v>697</v>
      </c>
      <c r="C333" s="365"/>
      <c r="D333" s="319"/>
      <c r="E333" s="316"/>
      <c r="F333" s="312"/>
      <c r="G333" s="254">
        <f>SUM(G334:G338)</f>
        <v>235000000</v>
      </c>
      <c r="H333" s="254">
        <f>SUM(H334:H338)</f>
        <v>0</v>
      </c>
      <c r="I333" s="254">
        <f>SUM(I334:I338)</f>
        <v>0</v>
      </c>
      <c r="J333" s="254"/>
      <c r="K333" s="254">
        <f>SUM(K334:K338)</f>
        <v>235000000</v>
      </c>
      <c r="L333" s="313"/>
    </row>
    <row r="334" spans="1:15" s="259" customFormat="1" ht="20.25" customHeight="1" x14ac:dyDescent="0.25">
      <c r="A334" s="244" t="s">
        <v>287</v>
      </c>
      <c r="B334" s="499" t="s">
        <v>698</v>
      </c>
      <c r="C334" s="500" t="s">
        <v>535</v>
      </c>
      <c r="D334" s="477">
        <v>1</v>
      </c>
      <c r="E334" s="478"/>
      <c r="F334" s="330">
        <v>55000000</v>
      </c>
      <c r="G334" s="258">
        <f>D334*F334</f>
        <v>55000000</v>
      </c>
      <c r="H334" s="258"/>
      <c r="I334" s="258"/>
      <c r="J334" s="258"/>
      <c r="K334" s="258">
        <f>G334</f>
        <v>55000000</v>
      </c>
      <c r="L334" s="331"/>
    </row>
    <row r="335" spans="1:15" s="259" customFormat="1" ht="20.25" customHeight="1" x14ac:dyDescent="0.25">
      <c r="A335" s="244" t="s">
        <v>287</v>
      </c>
      <c r="B335" s="499" t="s">
        <v>699</v>
      </c>
      <c r="C335" s="500" t="s">
        <v>535</v>
      </c>
      <c r="D335" s="477">
        <v>1</v>
      </c>
      <c r="E335" s="478"/>
      <c r="F335" s="330">
        <v>45000000</v>
      </c>
      <c r="G335" s="258">
        <f t="shared" ref="G335:G338" si="85">D335*F335</f>
        <v>45000000</v>
      </c>
      <c r="H335" s="258"/>
      <c r="I335" s="258"/>
      <c r="J335" s="258"/>
      <c r="K335" s="258">
        <f t="shared" ref="K335:K338" si="86">G335</f>
        <v>45000000</v>
      </c>
      <c r="L335" s="331"/>
    </row>
    <row r="336" spans="1:15" s="259" customFormat="1" ht="20.25" customHeight="1" x14ac:dyDescent="0.25">
      <c r="A336" s="244" t="s">
        <v>287</v>
      </c>
      <c r="B336" s="499" t="s">
        <v>700</v>
      </c>
      <c r="C336" s="500" t="s">
        <v>535</v>
      </c>
      <c r="D336" s="477">
        <v>1</v>
      </c>
      <c r="E336" s="478"/>
      <c r="F336" s="330">
        <v>45000000</v>
      </c>
      <c r="G336" s="258">
        <f t="shared" si="85"/>
        <v>45000000</v>
      </c>
      <c r="H336" s="258"/>
      <c r="I336" s="258"/>
      <c r="J336" s="258"/>
      <c r="K336" s="258">
        <f t="shared" si="86"/>
        <v>45000000</v>
      </c>
      <c r="L336" s="331"/>
    </row>
    <row r="337" spans="1:13" s="259" customFormat="1" ht="20.25" customHeight="1" x14ac:dyDescent="0.25">
      <c r="A337" s="244" t="s">
        <v>287</v>
      </c>
      <c r="B337" s="499" t="s">
        <v>701</v>
      </c>
      <c r="C337" s="500" t="s">
        <v>535</v>
      </c>
      <c r="D337" s="477">
        <v>1</v>
      </c>
      <c r="E337" s="478"/>
      <c r="F337" s="330">
        <v>45000000</v>
      </c>
      <c r="G337" s="258">
        <f t="shared" si="85"/>
        <v>45000000</v>
      </c>
      <c r="H337" s="258"/>
      <c r="I337" s="258"/>
      <c r="J337" s="258"/>
      <c r="K337" s="258">
        <f t="shared" si="86"/>
        <v>45000000</v>
      </c>
      <c r="L337" s="331"/>
    </row>
    <row r="338" spans="1:13" s="259" customFormat="1" ht="20.25" customHeight="1" x14ac:dyDescent="0.25">
      <c r="A338" s="244" t="s">
        <v>287</v>
      </c>
      <c r="B338" s="499" t="s">
        <v>702</v>
      </c>
      <c r="C338" s="500" t="s">
        <v>535</v>
      </c>
      <c r="D338" s="477">
        <v>1</v>
      </c>
      <c r="E338" s="478"/>
      <c r="F338" s="330">
        <v>45000000</v>
      </c>
      <c r="G338" s="258">
        <f t="shared" si="85"/>
        <v>45000000</v>
      </c>
      <c r="H338" s="258"/>
      <c r="I338" s="258"/>
      <c r="J338" s="258"/>
      <c r="K338" s="258">
        <f t="shared" si="86"/>
        <v>45000000</v>
      </c>
      <c r="L338" s="331"/>
    </row>
    <row r="339" spans="1:13" ht="20.25" customHeight="1" x14ac:dyDescent="0.25">
      <c r="A339" s="307">
        <v>7</v>
      </c>
      <c r="B339" s="318" t="s">
        <v>703</v>
      </c>
      <c r="C339" s="365" t="s">
        <v>704</v>
      </c>
      <c r="D339" s="319">
        <f>SUM(D340:D344)</f>
        <v>152</v>
      </c>
      <c r="E339" s="316"/>
      <c r="F339" s="312">
        <v>2000000</v>
      </c>
      <c r="G339" s="254">
        <f>SUM(G340:G344)</f>
        <v>304000000</v>
      </c>
      <c r="H339" s="254"/>
      <c r="I339" s="254"/>
      <c r="J339" s="254"/>
      <c r="K339" s="254">
        <f t="shared" ref="K339:K346" si="87">G339-H339-I339</f>
        <v>304000000</v>
      </c>
      <c r="L339" s="313"/>
    </row>
    <row r="340" spans="1:13" s="259" customFormat="1" ht="20.25" customHeight="1" x14ac:dyDescent="0.25">
      <c r="A340" s="244" t="s">
        <v>287</v>
      </c>
      <c r="B340" s="499" t="s">
        <v>705</v>
      </c>
      <c r="C340" s="500" t="s">
        <v>704</v>
      </c>
      <c r="D340" s="477">
        <v>33</v>
      </c>
      <c r="E340" s="478"/>
      <c r="F340" s="330">
        <v>2000000</v>
      </c>
      <c r="G340" s="258">
        <f t="shared" ref="G340:G346" si="88">D340*F340</f>
        <v>66000000</v>
      </c>
      <c r="H340" s="258"/>
      <c r="I340" s="258"/>
      <c r="J340" s="258"/>
      <c r="K340" s="258">
        <f t="shared" si="87"/>
        <v>66000000</v>
      </c>
      <c r="L340" s="331"/>
    </row>
    <row r="341" spans="1:13" s="259" customFormat="1" ht="20.25" customHeight="1" x14ac:dyDescent="0.25">
      <c r="A341" s="244" t="s">
        <v>287</v>
      </c>
      <c r="B341" s="499" t="s">
        <v>699</v>
      </c>
      <c r="C341" s="500" t="s">
        <v>704</v>
      </c>
      <c r="D341" s="477">
        <v>33</v>
      </c>
      <c r="E341" s="478"/>
      <c r="F341" s="330">
        <v>2000000</v>
      </c>
      <c r="G341" s="258">
        <f t="shared" si="88"/>
        <v>66000000</v>
      </c>
      <c r="H341" s="258"/>
      <c r="I341" s="258"/>
      <c r="J341" s="258"/>
      <c r="K341" s="258">
        <f t="shared" si="87"/>
        <v>66000000</v>
      </c>
      <c r="L341" s="331"/>
    </row>
    <row r="342" spans="1:13" s="259" customFormat="1" ht="20.25" customHeight="1" x14ac:dyDescent="0.25">
      <c r="A342" s="244" t="s">
        <v>287</v>
      </c>
      <c r="B342" s="499" t="s">
        <v>700</v>
      </c>
      <c r="C342" s="500" t="s">
        <v>704</v>
      </c>
      <c r="D342" s="477">
        <v>33</v>
      </c>
      <c r="E342" s="478"/>
      <c r="F342" s="330">
        <v>2000000</v>
      </c>
      <c r="G342" s="258">
        <f t="shared" si="88"/>
        <v>66000000</v>
      </c>
      <c r="H342" s="258"/>
      <c r="I342" s="258"/>
      <c r="J342" s="258"/>
      <c r="K342" s="258">
        <f t="shared" si="87"/>
        <v>66000000</v>
      </c>
      <c r="L342" s="331"/>
    </row>
    <row r="343" spans="1:13" s="259" customFormat="1" ht="20.25" customHeight="1" x14ac:dyDescent="0.25">
      <c r="A343" s="244" t="s">
        <v>287</v>
      </c>
      <c r="B343" s="499" t="s">
        <v>701</v>
      </c>
      <c r="C343" s="500" t="s">
        <v>704</v>
      </c>
      <c r="D343" s="477">
        <v>20</v>
      </c>
      <c r="E343" s="478"/>
      <c r="F343" s="330">
        <v>2000000</v>
      </c>
      <c r="G343" s="258">
        <f t="shared" si="88"/>
        <v>40000000</v>
      </c>
      <c r="H343" s="258"/>
      <c r="I343" s="258"/>
      <c r="J343" s="258"/>
      <c r="K343" s="258">
        <f t="shared" si="87"/>
        <v>40000000</v>
      </c>
      <c r="L343" s="331"/>
    </row>
    <row r="344" spans="1:13" s="259" customFormat="1" ht="20.25" customHeight="1" x14ac:dyDescent="0.25">
      <c r="A344" s="244" t="s">
        <v>287</v>
      </c>
      <c r="B344" s="499" t="s">
        <v>702</v>
      </c>
      <c r="C344" s="500" t="s">
        <v>704</v>
      </c>
      <c r="D344" s="477">
        <v>33</v>
      </c>
      <c r="E344" s="478"/>
      <c r="F344" s="330">
        <v>2000000</v>
      </c>
      <c r="G344" s="258">
        <f t="shared" si="88"/>
        <v>66000000</v>
      </c>
      <c r="H344" s="258"/>
      <c r="I344" s="258"/>
      <c r="J344" s="258"/>
      <c r="K344" s="258">
        <f t="shared" si="87"/>
        <v>66000000</v>
      </c>
      <c r="L344" s="331"/>
    </row>
    <row r="345" spans="1:13" ht="33" customHeight="1" x14ac:dyDescent="0.25">
      <c r="A345" s="307">
        <v>7</v>
      </c>
      <c r="B345" s="318" t="s">
        <v>706</v>
      </c>
      <c r="C345" s="365" t="s">
        <v>707</v>
      </c>
      <c r="D345" s="319">
        <v>1</v>
      </c>
      <c r="E345" s="316"/>
      <c r="F345" s="312">
        <v>15000000</v>
      </c>
      <c r="G345" s="254">
        <f t="shared" si="88"/>
        <v>15000000</v>
      </c>
      <c r="H345" s="254"/>
      <c r="I345" s="254"/>
      <c r="J345" s="254"/>
      <c r="K345" s="254">
        <f t="shared" si="87"/>
        <v>15000000</v>
      </c>
      <c r="L345" s="313"/>
    </row>
    <row r="346" spans="1:13" ht="21.75" customHeight="1" x14ac:dyDescent="0.25">
      <c r="A346" s="307">
        <v>8</v>
      </c>
      <c r="B346" s="318" t="s">
        <v>708</v>
      </c>
      <c r="C346" s="365" t="s">
        <v>707</v>
      </c>
      <c r="D346" s="319">
        <v>1</v>
      </c>
      <c r="E346" s="316"/>
      <c r="F346" s="312">
        <v>30000000</v>
      </c>
      <c r="G346" s="254">
        <f t="shared" si="88"/>
        <v>30000000</v>
      </c>
      <c r="H346" s="254"/>
      <c r="I346" s="254"/>
      <c r="J346" s="254"/>
      <c r="K346" s="254">
        <f t="shared" si="87"/>
        <v>30000000</v>
      </c>
      <c r="L346" s="313"/>
      <c r="M346" s="293">
        <f>'Biểu CSHS'!E59-'Biểu CSHS'!E69</f>
        <v>1422524000</v>
      </c>
    </row>
    <row r="347" spans="1:13" s="489" customFormat="1" ht="18.75" hidden="1" customHeight="1" x14ac:dyDescent="0.25">
      <c r="A347" s="333"/>
      <c r="B347" s="481" t="s">
        <v>709</v>
      </c>
      <c r="C347" s="482"/>
      <c r="D347" s="483">
        <v>10</v>
      </c>
      <c r="E347" s="484"/>
      <c r="F347" s="337"/>
      <c r="G347" s="486">
        <f>G348+G360+G362+G397</f>
        <v>5217397456</v>
      </c>
      <c r="H347" s="486">
        <f t="shared" ref="H347:K347" si="89">H348+H360+H362+H397</f>
        <v>40000000</v>
      </c>
      <c r="I347" s="486">
        <f t="shared" si="89"/>
        <v>10140000</v>
      </c>
      <c r="J347" s="486"/>
      <c r="K347" s="486">
        <f t="shared" si="89"/>
        <v>4697762456</v>
      </c>
      <c r="L347" s="488"/>
    </row>
    <row r="348" spans="1:13" hidden="1" x14ac:dyDescent="0.25">
      <c r="A348" s="241" t="s">
        <v>576</v>
      </c>
      <c r="B348" s="490" t="s">
        <v>635</v>
      </c>
      <c r="C348" s="294"/>
      <c r="D348" s="294"/>
      <c r="E348" s="299"/>
      <c r="F348" s="369"/>
      <c r="G348" s="491">
        <f>G349</f>
        <v>1840761936.0000002</v>
      </c>
      <c r="H348" s="491">
        <f>H349</f>
        <v>0</v>
      </c>
      <c r="I348" s="491">
        <f>I349</f>
        <v>0</v>
      </c>
      <c r="J348" s="491"/>
      <c r="K348" s="491">
        <f>K349</f>
        <v>1840761936.0000002</v>
      </c>
      <c r="L348" s="313"/>
    </row>
    <row r="349" spans="1:13" hidden="1" x14ac:dyDescent="0.25">
      <c r="A349" s="343" t="s">
        <v>541</v>
      </c>
      <c r="B349" s="492" t="s">
        <v>636</v>
      </c>
      <c r="C349" s="345"/>
      <c r="D349" s="345">
        <v>10</v>
      </c>
      <c r="E349" s="493">
        <f>SUM(E350:E359)</f>
        <v>65.554200000000009</v>
      </c>
      <c r="F349" s="347"/>
      <c r="G349" s="494">
        <f>SUM(G350:G359)</f>
        <v>1840761936.0000002</v>
      </c>
      <c r="H349" s="494">
        <f>SUM(H350:H359)</f>
        <v>0</v>
      </c>
      <c r="I349" s="494">
        <f>SUM(I350:I359)</f>
        <v>0</v>
      </c>
      <c r="J349" s="494"/>
      <c r="K349" s="494">
        <f>SUM(K350:K359)</f>
        <v>1840761936.0000002</v>
      </c>
      <c r="L349" s="313"/>
    </row>
    <row r="350" spans="1:13" hidden="1" x14ac:dyDescent="0.25">
      <c r="A350" s="307" t="s">
        <v>287</v>
      </c>
      <c r="B350" s="315" t="s">
        <v>543</v>
      </c>
      <c r="C350" s="365" t="s">
        <v>526</v>
      </c>
      <c r="D350" s="365">
        <v>10</v>
      </c>
      <c r="E350" s="495">
        <v>33.090000000000003</v>
      </c>
      <c r="F350" s="312">
        <v>2340000</v>
      </c>
      <c r="G350" s="317">
        <f>E350*F350*12</f>
        <v>929167200.00000024</v>
      </c>
      <c r="H350" s="317"/>
      <c r="I350" s="317"/>
      <c r="J350" s="317"/>
      <c r="K350" s="317">
        <f>G350-H350-I350</f>
        <v>929167200.00000024</v>
      </c>
      <c r="L350" s="313"/>
    </row>
    <row r="351" spans="1:13" hidden="1" x14ac:dyDescent="0.25">
      <c r="A351" s="307" t="s">
        <v>287</v>
      </c>
      <c r="B351" s="315" t="s">
        <v>544</v>
      </c>
      <c r="C351" s="365" t="s">
        <v>526</v>
      </c>
      <c r="D351" s="365">
        <v>5</v>
      </c>
      <c r="E351" s="496">
        <v>1.1499999999999999</v>
      </c>
      <c r="F351" s="312">
        <v>2340000</v>
      </c>
      <c r="G351" s="317">
        <f t="shared" ref="G351:G359" si="90">E351*F351*12</f>
        <v>32292000</v>
      </c>
      <c r="H351" s="317"/>
      <c r="I351" s="317"/>
      <c r="J351" s="317"/>
      <c r="K351" s="317">
        <f t="shared" ref="K351:K358" si="91">G351-H351-I351</f>
        <v>32292000</v>
      </c>
      <c r="L351" s="313"/>
    </row>
    <row r="352" spans="1:13" hidden="1" x14ac:dyDescent="0.25">
      <c r="A352" s="307" t="s">
        <v>287</v>
      </c>
      <c r="B352" s="315" t="s">
        <v>546</v>
      </c>
      <c r="C352" s="365" t="s">
        <v>526</v>
      </c>
      <c r="D352" s="365">
        <v>10</v>
      </c>
      <c r="E352" s="496">
        <v>7</v>
      </c>
      <c r="F352" s="312">
        <v>2340000</v>
      </c>
      <c r="G352" s="317">
        <f t="shared" si="90"/>
        <v>196560000</v>
      </c>
      <c r="H352" s="317"/>
      <c r="I352" s="317"/>
      <c r="J352" s="317"/>
      <c r="K352" s="317">
        <f t="shared" si="91"/>
        <v>196560000</v>
      </c>
      <c r="L352" s="313"/>
    </row>
    <row r="353" spans="1:12" hidden="1" x14ac:dyDescent="0.25">
      <c r="A353" s="307" t="s">
        <v>287</v>
      </c>
      <c r="B353" s="315" t="s">
        <v>658</v>
      </c>
      <c r="C353" s="365" t="s">
        <v>526</v>
      </c>
      <c r="D353" s="365">
        <v>1</v>
      </c>
      <c r="E353" s="496">
        <v>1.1970000000000001</v>
      </c>
      <c r="F353" s="312">
        <v>2340000</v>
      </c>
      <c r="G353" s="317">
        <f t="shared" si="90"/>
        <v>33611760</v>
      </c>
      <c r="H353" s="317"/>
      <c r="I353" s="317"/>
      <c r="J353" s="317"/>
      <c r="K353" s="317">
        <f t="shared" si="91"/>
        <v>33611760</v>
      </c>
      <c r="L353" s="313"/>
    </row>
    <row r="354" spans="1:12" hidden="1" x14ac:dyDescent="0.25">
      <c r="A354" s="307" t="s">
        <v>287</v>
      </c>
      <c r="B354" s="315" t="s">
        <v>548</v>
      </c>
      <c r="C354" s="365" t="s">
        <v>526</v>
      </c>
      <c r="D354" s="365">
        <v>1</v>
      </c>
      <c r="E354" s="496">
        <v>1.6379999999999999</v>
      </c>
      <c r="F354" s="312">
        <v>2340000</v>
      </c>
      <c r="G354" s="317">
        <f>E354*F354*12</f>
        <v>45995040</v>
      </c>
      <c r="H354" s="317"/>
      <c r="I354" s="317"/>
      <c r="J354" s="317"/>
      <c r="K354" s="317">
        <f t="shared" si="91"/>
        <v>45995040</v>
      </c>
      <c r="L354" s="313"/>
    </row>
    <row r="355" spans="1:12" hidden="1" x14ac:dyDescent="0.25">
      <c r="A355" s="307" t="s">
        <v>287</v>
      </c>
      <c r="B355" s="315" t="s">
        <v>549</v>
      </c>
      <c r="C355" s="365" t="s">
        <v>526</v>
      </c>
      <c r="D355" s="365">
        <v>9</v>
      </c>
      <c r="E355" s="496">
        <v>5.9</v>
      </c>
      <c r="F355" s="312">
        <v>2340000</v>
      </c>
      <c r="G355" s="317">
        <f t="shared" si="90"/>
        <v>165672000</v>
      </c>
      <c r="H355" s="317"/>
      <c r="I355" s="317"/>
      <c r="J355" s="317"/>
      <c r="K355" s="317">
        <f t="shared" si="91"/>
        <v>165672000</v>
      </c>
      <c r="L355" s="313"/>
    </row>
    <row r="356" spans="1:12" hidden="1" x14ac:dyDescent="0.25">
      <c r="A356" s="307" t="s">
        <v>287</v>
      </c>
      <c r="B356" s="315" t="s">
        <v>550</v>
      </c>
      <c r="C356" s="365" t="s">
        <v>526</v>
      </c>
      <c r="D356" s="365">
        <v>10</v>
      </c>
      <c r="E356" s="496">
        <f>(E350+E351)*25%</f>
        <v>8.56</v>
      </c>
      <c r="F356" s="312">
        <v>2340000</v>
      </c>
      <c r="G356" s="317">
        <f t="shared" si="90"/>
        <v>240364800</v>
      </c>
      <c r="H356" s="317"/>
      <c r="I356" s="317"/>
      <c r="J356" s="317"/>
      <c r="K356" s="317">
        <f t="shared" si="91"/>
        <v>240364800</v>
      </c>
      <c r="L356" s="313"/>
    </row>
    <row r="357" spans="1:12" hidden="1" x14ac:dyDescent="0.25">
      <c r="A357" s="307" t="s">
        <v>593</v>
      </c>
      <c r="B357" s="315" t="s">
        <v>675</v>
      </c>
      <c r="C357" s="365" t="s">
        <v>526</v>
      </c>
      <c r="D357" s="365"/>
      <c r="E357" s="424"/>
      <c r="F357" s="312">
        <v>1345366</v>
      </c>
      <c r="G357" s="317"/>
      <c r="H357" s="317"/>
      <c r="I357" s="317"/>
      <c r="J357" s="317"/>
      <c r="K357" s="317">
        <f t="shared" si="91"/>
        <v>0</v>
      </c>
      <c r="L357" s="313"/>
    </row>
    <row r="358" spans="1:12" hidden="1" x14ac:dyDescent="0.25">
      <c r="A358" s="307" t="s">
        <v>556</v>
      </c>
      <c r="B358" s="315" t="s">
        <v>661</v>
      </c>
      <c r="C358" s="365" t="s">
        <v>526</v>
      </c>
      <c r="D358" s="365"/>
      <c r="E358" s="366"/>
      <c r="F358" s="312">
        <v>2340000</v>
      </c>
      <c r="G358" s="317">
        <f t="shared" si="90"/>
        <v>0</v>
      </c>
      <c r="H358" s="317"/>
      <c r="I358" s="317"/>
      <c r="J358" s="317"/>
      <c r="K358" s="317">
        <f t="shared" si="91"/>
        <v>0</v>
      </c>
      <c r="L358" s="313"/>
    </row>
    <row r="359" spans="1:12" hidden="1" x14ac:dyDescent="0.25">
      <c r="A359" s="307" t="s">
        <v>287</v>
      </c>
      <c r="B359" s="315" t="s">
        <v>551</v>
      </c>
      <c r="C359" s="365" t="s">
        <v>526</v>
      </c>
      <c r="D359" s="365">
        <v>10</v>
      </c>
      <c r="E359" s="424">
        <f>(E350+E351)*20.5%</f>
        <v>7.0191999999999997</v>
      </c>
      <c r="F359" s="312">
        <v>2340000</v>
      </c>
      <c r="G359" s="317">
        <f t="shared" si="90"/>
        <v>197099136</v>
      </c>
      <c r="H359" s="317"/>
      <c r="I359" s="317"/>
      <c r="J359" s="317"/>
      <c r="K359" s="317">
        <f>G359-H359-I359</f>
        <v>197099136</v>
      </c>
      <c r="L359" s="313"/>
    </row>
    <row r="360" spans="1:12" hidden="1" x14ac:dyDescent="0.25">
      <c r="A360" s="241" t="s">
        <v>583</v>
      </c>
      <c r="B360" s="384" t="s">
        <v>662</v>
      </c>
      <c r="C360" s="365"/>
      <c r="D360" s="319"/>
      <c r="E360" s="423"/>
      <c r="F360" s="312"/>
      <c r="G360" s="491">
        <f>G361</f>
        <v>400000000</v>
      </c>
      <c r="H360" s="491">
        <f t="shared" ref="H360:K360" si="92">H361</f>
        <v>40000000</v>
      </c>
      <c r="I360" s="491">
        <f t="shared" si="92"/>
        <v>10140000</v>
      </c>
      <c r="J360" s="491"/>
      <c r="K360" s="491">
        <f t="shared" si="92"/>
        <v>349860000</v>
      </c>
      <c r="L360" s="313"/>
    </row>
    <row r="361" spans="1:12" hidden="1" x14ac:dyDescent="0.25">
      <c r="A361" s="307" t="s">
        <v>556</v>
      </c>
      <c r="B361" s="315" t="s">
        <v>663</v>
      </c>
      <c r="C361" s="365" t="s">
        <v>526</v>
      </c>
      <c r="D361" s="319">
        <v>10</v>
      </c>
      <c r="E361" s="423"/>
      <c r="F361" s="312">
        <v>40000000</v>
      </c>
      <c r="G361" s="317">
        <f>D361*F361</f>
        <v>400000000</v>
      </c>
      <c r="H361" s="317">
        <f>G361*0.1</f>
        <v>40000000</v>
      </c>
      <c r="I361" s="317">
        <f>9*710000+1*2340000+1*1410000</f>
        <v>10140000</v>
      </c>
      <c r="J361" s="317"/>
      <c r="K361" s="317">
        <f>G361-H361-I361</f>
        <v>349860000</v>
      </c>
      <c r="L361" s="313"/>
    </row>
    <row r="362" spans="1:12" hidden="1" x14ac:dyDescent="0.25">
      <c r="A362" s="241" t="s">
        <v>585</v>
      </c>
      <c r="B362" s="384" t="s">
        <v>628</v>
      </c>
      <c r="C362" s="377"/>
      <c r="D362" s="367"/>
      <c r="E362" s="368"/>
      <c r="F362" s="369"/>
      <c r="G362" s="247">
        <f>G363+G374+G377+G383+G389+G390+G391</f>
        <v>2883718800</v>
      </c>
      <c r="H362" s="247">
        <f>H363+H374+H377+H383+H389+H390+H391</f>
        <v>0</v>
      </c>
      <c r="I362" s="247">
        <f>I363+I374+I377+I383+I389+I390+I391</f>
        <v>0</v>
      </c>
      <c r="J362" s="247"/>
      <c r="K362" s="247">
        <f>K363+K374+K377+K383+K389+K390+K391</f>
        <v>2414223800</v>
      </c>
      <c r="L362" s="313"/>
    </row>
    <row r="363" spans="1:12" ht="28.5" hidden="1" customHeight="1" x14ac:dyDescent="0.25">
      <c r="A363" s="241" t="s">
        <v>593</v>
      </c>
      <c r="B363" s="384" t="s">
        <v>710</v>
      </c>
      <c r="C363" s="377"/>
      <c r="D363" s="367"/>
      <c r="E363" s="368"/>
      <c r="F363" s="369"/>
      <c r="G363" s="247">
        <f>SUM(G364:G373)</f>
        <v>1394223800</v>
      </c>
      <c r="H363" s="247">
        <f>SUM(H364:H373)</f>
        <v>0</v>
      </c>
      <c r="I363" s="247">
        <f>SUM(I364:I373)</f>
        <v>0</v>
      </c>
      <c r="J363" s="247"/>
      <c r="K363" s="247">
        <f>SUM(K364:K373)</f>
        <v>1394223800</v>
      </c>
      <c r="L363" s="313"/>
    </row>
    <row r="364" spans="1:12" ht="30" hidden="1" x14ac:dyDescent="0.25">
      <c r="A364" s="241"/>
      <c r="B364" s="332" t="s">
        <v>711</v>
      </c>
      <c r="C364" s="365" t="s">
        <v>526</v>
      </c>
      <c r="D364" s="319">
        <v>1</v>
      </c>
      <c r="E364" s="316"/>
      <c r="F364" s="312">
        <v>2150000</v>
      </c>
      <c r="G364" s="254">
        <f>D364*F364*5</f>
        <v>10750000</v>
      </c>
      <c r="H364" s="247"/>
      <c r="I364" s="247"/>
      <c r="J364" s="247"/>
      <c r="K364" s="317">
        <f t="shared" ref="K364:K390" si="93">G364-H364-I364</f>
        <v>10750000</v>
      </c>
      <c r="L364" s="313"/>
    </row>
    <row r="365" spans="1:12" hidden="1" x14ac:dyDescent="0.25">
      <c r="A365" s="241"/>
      <c r="B365" s="332" t="s">
        <v>712</v>
      </c>
      <c r="C365" s="365" t="s">
        <v>526</v>
      </c>
      <c r="D365" s="319">
        <v>2</v>
      </c>
      <c r="E365" s="316"/>
      <c r="F365" s="312">
        <v>2150000</v>
      </c>
      <c r="G365" s="254">
        <f t="shared" ref="G365:G367" si="94">D365*F365*5</f>
        <v>21500000</v>
      </c>
      <c r="H365" s="247"/>
      <c r="I365" s="247"/>
      <c r="J365" s="247"/>
      <c r="K365" s="317">
        <f t="shared" si="93"/>
        <v>21500000</v>
      </c>
      <c r="L365" s="313"/>
    </row>
    <row r="366" spans="1:12" hidden="1" x14ac:dyDescent="0.25">
      <c r="A366" s="241"/>
      <c r="B366" s="332" t="s">
        <v>713</v>
      </c>
      <c r="C366" s="365" t="s">
        <v>526</v>
      </c>
      <c r="D366" s="319">
        <v>2</v>
      </c>
      <c r="E366" s="316"/>
      <c r="F366" s="312">
        <v>2150000</v>
      </c>
      <c r="G366" s="254">
        <f t="shared" si="94"/>
        <v>21500000</v>
      </c>
      <c r="H366" s="247"/>
      <c r="I366" s="247"/>
      <c r="J366" s="247"/>
      <c r="K366" s="317">
        <f t="shared" si="93"/>
        <v>21500000</v>
      </c>
      <c r="L366" s="313"/>
    </row>
    <row r="367" spans="1:12" ht="30" hidden="1" x14ac:dyDescent="0.25">
      <c r="A367" s="241"/>
      <c r="B367" s="332" t="s">
        <v>714</v>
      </c>
      <c r="C367" s="365" t="s">
        <v>526</v>
      </c>
      <c r="D367" s="319">
        <v>5</v>
      </c>
      <c r="E367" s="368"/>
      <c r="F367" s="653">
        <f>2340000*17%</f>
        <v>397800</v>
      </c>
      <c r="G367" s="254">
        <f t="shared" si="94"/>
        <v>9945000</v>
      </c>
      <c r="H367" s="247"/>
      <c r="I367" s="247"/>
      <c r="J367" s="247"/>
      <c r="K367" s="317">
        <f t="shared" si="93"/>
        <v>9945000</v>
      </c>
      <c r="L367" s="313"/>
    </row>
    <row r="368" spans="1:12" ht="30" hidden="1" x14ac:dyDescent="0.25">
      <c r="A368" s="241"/>
      <c r="B368" s="332" t="s">
        <v>715</v>
      </c>
      <c r="C368" s="365" t="s">
        <v>526</v>
      </c>
      <c r="D368" s="319">
        <v>33</v>
      </c>
      <c r="E368" s="368"/>
      <c r="F368" s="312">
        <v>1700000</v>
      </c>
      <c r="G368" s="254">
        <f t="shared" ref="G368:G373" si="95">D368*F368*12</f>
        <v>673200000</v>
      </c>
      <c r="H368" s="247"/>
      <c r="I368" s="247"/>
      <c r="J368" s="247"/>
      <c r="K368" s="317">
        <f t="shared" si="93"/>
        <v>673200000</v>
      </c>
      <c r="L368" s="313"/>
    </row>
    <row r="369" spans="1:12" hidden="1" x14ac:dyDescent="0.25">
      <c r="A369" s="241"/>
      <c r="B369" s="332" t="s">
        <v>716</v>
      </c>
      <c r="C369" s="365" t="s">
        <v>526</v>
      </c>
      <c r="D369" s="319">
        <v>33</v>
      </c>
      <c r="E369" s="316"/>
      <c r="F369" s="312">
        <v>350000</v>
      </c>
      <c r="G369" s="254">
        <f t="shared" si="95"/>
        <v>138600000</v>
      </c>
      <c r="H369" s="247"/>
      <c r="I369" s="247"/>
      <c r="J369" s="247"/>
      <c r="K369" s="317">
        <f t="shared" si="93"/>
        <v>138600000</v>
      </c>
      <c r="L369" s="313"/>
    </row>
    <row r="370" spans="1:12" hidden="1" x14ac:dyDescent="0.25">
      <c r="A370" s="241"/>
      <c r="B370" s="499" t="s">
        <v>717</v>
      </c>
      <c r="C370" s="365" t="s">
        <v>526</v>
      </c>
      <c r="D370" s="319">
        <v>33</v>
      </c>
      <c r="E370" s="316"/>
      <c r="F370" s="312">
        <v>350000</v>
      </c>
      <c r="G370" s="254">
        <f t="shared" si="95"/>
        <v>138600000</v>
      </c>
      <c r="H370" s="254"/>
      <c r="I370" s="254"/>
      <c r="J370" s="254"/>
      <c r="K370" s="254">
        <f t="shared" si="93"/>
        <v>138600000</v>
      </c>
      <c r="L370" s="313"/>
    </row>
    <row r="371" spans="1:12" hidden="1" x14ac:dyDescent="0.25">
      <c r="A371" s="241"/>
      <c r="B371" s="499" t="s">
        <v>718</v>
      </c>
      <c r="C371" s="365" t="s">
        <v>526</v>
      </c>
      <c r="D371" s="319">
        <v>20</v>
      </c>
      <c r="E371" s="316"/>
      <c r="F371" s="312">
        <v>350000</v>
      </c>
      <c r="G371" s="254">
        <f t="shared" si="95"/>
        <v>84000000</v>
      </c>
      <c r="H371" s="254"/>
      <c r="I371" s="254"/>
      <c r="J371" s="254"/>
      <c r="K371" s="254">
        <f t="shared" si="93"/>
        <v>84000000</v>
      </c>
      <c r="L371" s="313"/>
    </row>
    <row r="372" spans="1:12" hidden="1" x14ac:dyDescent="0.25">
      <c r="A372" s="241"/>
      <c r="B372" s="499" t="s">
        <v>719</v>
      </c>
      <c r="C372" s="365" t="s">
        <v>526</v>
      </c>
      <c r="D372" s="319">
        <v>33</v>
      </c>
      <c r="E372" s="316"/>
      <c r="F372" s="312">
        <v>350000</v>
      </c>
      <c r="G372" s="254">
        <f t="shared" si="95"/>
        <v>138600000</v>
      </c>
      <c r="H372" s="254"/>
      <c r="I372" s="254"/>
      <c r="J372" s="254"/>
      <c r="K372" s="254">
        <f t="shared" si="93"/>
        <v>138600000</v>
      </c>
      <c r="L372" s="313"/>
    </row>
    <row r="373" spans="1:12" ht="30" hidden="1" x14ac:dyDescent="0.25">
      <c r="A373" s="241"/>
      <c r="B373" s="499" t="s">
        <v>720</v>
      </c>
      <c r="C373" s="365" t="s">
        <v>526</v>
      </c>
      <c r="D373" s="319">
        <v>33</v>
      </c>
      <c r="E373" s="316"/>
      <c r="F373" s="312">
        <f>2340000*17%</f>
        <v>397800</v>
      </c>
      <c r="G373" s="254">
        <f t="shared" si="95"/>
        <v>157528800</v>
      </c>
      <c r="H373" s="254"/>
      <c r="I373" s="254"/>
      <c r="J373" s="254"/>
      <c r="K373" s="254">
        <f t="shared" si="93"/>
        <v>157528800</v>
      </c>
      <c r="L373" s="313"/>
    </row>
    <row r="374" spans="1:12" ht="42.75" hidden="1" x14ac:dyDescent="0.25">
      <c r="A374" s="241" t="s">
        <v>556</v>
      </c>
      <c r="B374" s="501" t="s">
        <v>693</v>
      </c>
      <c r="C374" s="377"/>
      <c r="D374" s="367"/>
      <c r="E374" s="368"/>
      <c r="F374" s="369"/>
      <c r="G374" s="247">
        <f>G375+G376</f>
        <v>436000000</v>
      </c>
      <c r="H374" s="247"/>
      <c r="I374" s="247"/>
      <c r="J374" s="247"/>
      <c r="K374" s="247">
        <f t="shared" si="93"/>
        <v>436000000</v>
      </c>
      <c r="L374" s="313"/>
    </row>
    <row r="375" spans="1:12" ht="30" hidden="1" x14ac:dyDescent="0.25">
      <c r="A375" s="241"/>
      <c r="B375" s="499" t="s">
        <v>721</v>
      </c>
      <c r="C375" s="365" t="s">
        <v>535</v>
      </c>
      <c r="D375" s="319">
        <v>1</v>
      </c>
      <c r="E375" s="316"/>
      <c r="F375" s="312">
        <v>120000000</v>
      </c>
      <c r="G375" s="254">
        <f>D375*F375</f>
        <v>120000000</v>
      </c>
      <c r="H375" s="254"/>
      <c r="I375" s="254"/>
      <c r="J375" s="254"/>
      <c r="K375" s="254">
        <f t="shared" si="93"/>
        <v>120000000</v>
      </c>
      <c r="L375" s="313"/>
    </row>
    <row r="376" spans="1:12" ht="30" hidden="1" x14ac:dyDescent="0.25">
      <c r="A376" s="241"/>
      <c r="B376" s="499" t="s">
        <v>722</v>
      </c>
      <c r="C376" s="365" t="s">
        <v>535</v>
      </c>
      <c r="D376" s="319">
        <v>33</v>
      </c>
      <c r="E376" s="316"/>
      <c r="F376" s="312"/>
      <c r="G376" s="254">
        <f>26*10000000+7*8000000</f>
        <v>316000000</v>
      </c>
      <c r="H376" s="254"/>
      <c r="I376" s="254"/>
      <c r="J376" s="254"/>
      <c r="K376" s="254">
        <f t="shared" si="93"/>
        <v>316000000</v>
      </c>
      <c r="L376" s="313"/>
    </row>
    <row r="377" spans="1:12" ht="33.75" hidden="1" customHeight="1" x14ac:dyDescent="0.25">
      <c r="A377" s="241" t="s">
        <v>556</v>
      </c>
      <c r="B377" s="501" t="s">
        <v>697</v>
      </c>
      <c r="C377" s="377"/>
      <c r="D377" s="367"/>
      <c r="E377" s="368"/>
      <c r="F377" s="369"/>
      <c r="G377" s="247">
        <f>SUM(G378:G382)</f>
        <v>235000000</v>
      </c>
      <c r="H377" s="247">
        <f>SUM(H378:H382)</f>
        <v>0</v>
      </c>
      <c r="I377" s="247">
        <f>SUM(I378:I382)</f>
        <v>0</v>
      </c>
      <c r="J377" s="247"/>
      <c r="K377" s="247">
        <f>SUM(K378:K382)</f>
        <v>235000000</v>
      </c>
      <c r="L377" s="313"/>
    </row>
    <row r="378" spans="1:12" hidden="1" x14ac:dyDescent="0.25">
      <c r="A378" s="241"/>
      <c r="B378" s="499" t="s">
        <v>698</v>
      </c>
      <c r="C378" s="365" t="s">
        <v>535</v>
      </c>
      <c r="D378" s="319">
        <v>1</v>
      </c>
      <c r="E378" s="316"/>
      <c r="F378" s="312">
        <v>55000000</v>
      </c>
      <c r="G378" s="254">
        <f>D378*F378</f>
        <v>55000000</v>
      </c>
      <c r="H378" s="254"/>
      <c r="I378" s="254"/>
      <c r="J378" s="254"/>
      <c r="K378" s="254">
        <f>G378</f>
        <v>55000000</v>
      </c>
      <c r="L378" s="313"/>
    </row>
    <row r="379" spans="1:12" hidden="1" x14ac:dyDescent="0.25">
      <c r="A379" s="241"/>
      <c r="B379" s="499" t="s">
        <v>699</v>
      </c>
      <c r="C379" s="365" t="s">
        <v>535</v>
      </c>
      <c r="D379" s="319">
        <v>1</v>
      </c>
      <c r="E379" s="316"/>
      <c r="F379" s="312">
        <v>45000000</v>
      </c>
      <c r="G379" s="254">
        <f t="shared" ref="G379:G390" si="96">D379*F379</f>
        <v>45000000</v>
      </c>
      <c r="H379" s="254"/>
      <c r="I379" s="254"/>
      <c r="J379" s="254"/>
      <c r="K379" s="254">
        <f t="shared" ref="K379:K382" si="97">G379</f>
        <v>45000000</v>
      </c>
      <c r="L379" s="313"/>
    </row>
    <row r="380" spans="1:12" hidden="1" x14ac:dyDescent="0.25">
      <c r="A380" s="241"/>
      <c r="B380" s="499" t="s">
        <v>700</v>
      </c>
      <c r="C380" s="365" t="s">
        <v>535</v>
      </c>
      <c r="D380" s="319">
        <v>1</v>
      </c>
      <c r="E380" s="316"/>
      <c r="F380" s="312">
        <v>45000000</v>
      </c>
      <c r="G380" s="254">
        <f t="shared" si="96"/>
        <v>45000000</v>
      </c>
      <c r="H380" s="254"/>
      <c r="I380" s="254"/>
      <c r="J380" s="254"/>
      <c r="K380" s="254">
        <f t="shared" si="97"/>
        <v>45000000</v>
      </c>
      <c r="L380" s="313"/>
    </row>
    <row r="381" spans="1:12" hidden="1" x14ac:dyDescent="0.25">
      <c r="A381" s="241"/>
      <c r="B381" s="499" t="s">
        <v>701</v>
      </c>
      <c r="C381" s="365" t="s">
        <v>535</v>
      </c>
      <c r="D381" s="319">
        <v>1</v>
      </c>
      <c r="E381" s="316"/>
      <c r="F381" s="312">
        <v>45000000</v>
      </c>
      <c r="G381" s="254">
        <f t="shared" si="96"/>
        <v>45000000</v>
      </c>
      <c r="H381" s="254"/>
      <c r="I381" s="254"/>
      <c r="J381" s="254"/>
      <c r="K381" s="254">
        <f t="shared" si="97"/>
        <v>45000000</v>
      </c>
      <c r="L381" s="313"/>
    </row>
    <row r="382" spans="1:12" hidden="1" x14ac:dyDescent="0.25">
      <c r="A382" s="241"/>
      <c r="B382" s="499" t="s">
        <v>702</v>
      </c>
      <c r="C382" s="365" t="s">
        <v>535</v>
      </c>
      <c r="D382" s="319">
        <v>1</v>
      </c>
      <c r="E382" s="316"/>
      <c r="F382" s="312">
        <v>45000000</v>
      </c>
      <c r="G382" s="254">
        <f t="shared" si="96"/>
        <v>45000000</v>
      </c>
      <c r="H382" s="254"/>
      <c r="I382" s="254"/>
      <c r="J382" s="254"/>
      <c r="K382" s="254">
        <f t="shared" si="97"/>
        <v>45000000</v>
      </c>
      <c r="L382" s="313"/>
    </row>
    <row r="383" spans="1:12" ht="28.5" hidden="1" x14ac:dyDescent="0.25">
      <c r="A383" s="241" t="s">
        <v>556</v>
      </c>
      <c r="B383" s="501" t="s">
        <v>703</v>
      </c>
      <c r="C383" s="365"/>
      <c r="D383" s="319"/>
      <c r="E383" s="316"/>
      <c r="F383" s="312"/>
      <c r="G383" s="247">
        <f>SUM(G384:G388)</f>
        <v>304000000</v>
      </c>
      <c r="H383" s="247"/>
      <c r="I383" s="247"/>
      <c r="J383" s="247"/>
      <c r="K383" s="247">
        <f t="shared" si="93"/>
        <v>304000000</v>
      </c>
      <c r="L383" s="313"/>
    </row>
    <row r="384" spans="1:12" hidden="1" x14ac:dyDescent="0.25">
      <c r="A384" s="241"/>
      <c r="B384" s="499" t="s">
        <v>705</v>
      </c>
      <c r="C384" s="365" t="s">
        <v>704</v>
      </c>
      <c r="D384" s="319">
        <v>33</v>
      </c>
      <c r="E384" s="316"/>
      <c r="F384" s="312">
        <v>2000000</v>
      </c>
      <c r="G384" s="254">
        <f t="shared" si="96"/>
        <v>66000000</v>
      </c>
      <c r="H384" s="254"/>
      <c r="I384" s="254"/>
      <c r="J384" s="254"/>
      <c r="K384" s="254">
        <f t="shared" si="93"/>
        <v>66000000</v>
      </c>
      <c r="L384" s="313"/>
    </row>
    <row r="385" spans="1:15" hidden="1" x14ac:dyDescent="0.25">
      <c r="A385" s="241"/>
      <c r="B385" s="499" t="s">
        <v>699</v>
      </c>
      <c r="C385" s="365" t="s">
        <v>704</v>
      </c>
      <c r="D385" s="319">
        <v>33</v>
      </c>
      <c r="E385" s="316"/>
      <c r="F385" s="312">
        <v>2000000</v>
      </c>
      <c r="G385" s="254">
        <f t="shared" si="96"/>
        <v>66000000</v>
      </c>
      <c r="H385" s="254"/>
      <c r="I385" s="254"/>
      <c r="J385" s="254"/>
      <c r="K385" s="254">
        <f t="shared" si="93"/>
        <v>66000000</v>
      </c>
      <c r="L385" s="313"/>
    </row>
    <row r="386" spans="1:15" hidden="1" x14ac:dyDescent="0.25">
      <c r="A386" s="241"/>
      <c r="B386" s="499" t="s">
        <v>700</v>
      </c>
      <c r="C386" s="365" t="s">
        <v>704</v>
      </c>
      <c r="D386" s="319">
        <v>33</v>
      </c>
      <c r="E386" s="316"/>
      <c r="F386" s="312">
        <v>2000000</v>
      </c>
      <c r="G386" s="254">
        <f t="shared" si="96"/>
        <v>66000000</v>
      </c>
      <c r="H386" s="254"/>
      <c r="I386" s="254"/>
      <c r="J386" s="254"/>
      <c r="K386" s="254">
        <f t="shared" si="93"/>
        <v>66000000</v>
      </c>
      <c r="L386" s="313"/>
    </row>
    <row r="387" spans="1:15" hidden="1" x14ac:dyDescent="0.25">
      <c r="A387" s="241"/>
      <c r="B387" s="499" t="s">
        <v>701</v>
      </c>
      <c r="C387" s="365" t="s">
        <v>704</v>
      </c>
      <c r="D387" s="319">
        <v>20</v>
      </c>
      <c r="E387" s="316"/>
      <c r="F387" s="312">
        <v>2000000</v>
      </c>
      <c r="G387" s="254">
        <f t="shared" si="96"/>
        <v>40000000</v>
      </c>
      <c r="H387" s="254"/>
      <c r="I387" s="254"/>
      <c r="J387" s="254"/>
      <c r="K387" s="254">
        <f t="shared" si="93"/>
        <v>40000000</v>
      </c>
      <c r="L387" s="313"/>
    </row>
    <row r="388" spans="1:15" hidden="1" x14ac:dyDescent="0.25">
      <c r="A388" s="241"/>
      <c r="B388" s="499" t="s">
        <v>702</v>
      </c>
      <c r="C388" s="365" t="s">
        <v>704</v>
      </c>
      <c r="D388" s="319">
        <v>33</v>
      </c>
      <c r="E388" s="316"/>
      <c r="F388" s="312">
        <v>2000000</v>
      </c>
      <c r="G388" s="254">
        <f t="shared" si="96"/>
        <v>66000000</v>
      </c>
      <c r="H388" s="254"/>
      <c r="I388" s="254"/>
      <c r="J388" s="254"/>
      <c r="K388" s="254">
        <f t="shared" si="93"/>
        <v>66000000</v>
      </c>
      <c r="L388" s="313"/>
    </row>
    <row r="389" spans="1:15" ht="31.5" hidden="1" customHeight="1" x14ac:dyDescent="0.25">
      <c r="A389" s="241" t="s">
        <v>593</v>
      </c>
      <c r="B389" s="501" t="s">
        <v>706</v>
      </c>
      <c r="C389" s="377" t="s">
        <v>707</v>
      </c>
      <c r="D389" s="367">
        <v>1</v>
      </c>
      <c r="E389" s="368"/>
      <c r="F389" s="369">
        <v>15000000</v>
      </c>
      <c r="G389" s="247">
        <f t="shared" si="96"/>
        <v>15000000</v>
      </c>
      <c r="H389" s="247"/>
      <c r="I389" s="247"/>
      <c r="J389" s="247"/>
      <c r="K389" s="247">
        <f t="shared" si="93"/>
        <v>15000000</v>
      </c>
      <c r="L389" s="313"/>
    </row>
    <row r="390" spans="1:15" ht="21.75" hidden="1" customHeight="1" x14ac:dyDescent="0.25">
      <c r="A390" s="241" t="s">
        <v>556</v>
      </c>
      <c r="B390" s="501" t="s">
        <v>708</v>
      </c>
      <c r="C390" s="377" t="s">
        <v>707</v>
      </c>
      <c r="D390" s="367">
        <v>1</v>
      </c>
      <c r="E390" s="368"/>
      <c r="F390" s="369">
        <v>30000000</v>
      </c>
      <c r="G390" s="247">
        <f t="shared" si="96"/>
        <v>30000000</v>
      </c>
      <c r="H390" s="247"/>
      <c r="I390" s="247"/>
      <c r="J390" s="247"/>
      <c r="K390" s="247">
        <f t="shared" si="93"/>
        <v>30000000</v>
      </c>
      <c r="L390" s="313"/>
    </row>
    <row r="391" spans="1:15" ht="36" hidden="1" customHeight="1" x14ac:dyDescent="0.25">
      <c r="A391" s="241" t="s">
        <v>593</v>
      </c>
      <c r="B391" s="501" t="s">
        <v>723</v>
      </c>
      <c r="C391" s="365"/>
      <c r="D391" s="319"/>
      <c r="E391" s="316"/>
      <c r="F391" s="312"/>
      <c r="G391" s="247">
        <f>SUM(G392:G396)</f>
        <v>469495000</v>
      </c>
      <c r="H391" s="247"/>
      <c r="I391" s="247"/>
      <c r="J391" s="247"/>
      <c r="K391" s="247"/>
      <c r="L391" s="313"/>
    </row>
    <row r="392" spans="1:15" ht="18.75" hidden="1" customHeight="1" x14ac:dyDescent="0.25">
      <c r="A392" s="241"/>
      <c r="B392" s="499" t="s">
        <v>692</v>
      </c>
      <c r="C392" s="418" t="s">
        <v>535</v>
      </c>
      <c r="D392" s="307"/>
      <c r="E392" s="313"/>
      <c r="F392" s="312"/>
      <c r="G392" s="254">
        <v>55450000</v>
      </c>
      <c r="H392" s="254"/>
      <c r="I392" s="254"/>
      <c r="J392" s="254"/>
      <c r="K392" s="254"/>
      <c r="L392" s="313"/>
    </row>
    <row r="393" spans="1:15" ht="18.75" hidden="1" customHeight="1" x14ac:dyDescent="0.25">
      <c r="A393" s="241"/>
      <c r="B393" s="499" t="s">
        <v>699</v>
      </c>
      <c r="C393" s="418" t="s">
        <v>535</v>
      </c>
      <c r="D393" s="307"/>
      <c r="E393" s="313"/>
      <c r="F393" s="312"/>
      <c r="G393" s="254">
        <v>130620000</v>
      </c>
      <c r="H393" s="254"/>
      <c r="I393" s="254"/>
      <c r="J393" s="254"/>
      <c r="K393" s="254"/>
      <c r="L393" s="313"/>
    </row>
    <row r="394" spans="1:15" ht="18.75" hidden="1" customHeight="1" x14ac:dyDescent="0.25">
      <c r="A394" s="241"/>
      <c r="B394" s="499" t="s">
        <v>700</v>
      </c>
      <c r="C394" s="418" t="s">
        <v>535</v>
      </c>
      <c r="D394" s="307"/>
      <c r="E394" s="313"/>
      <c r="F394" s="312"/>
      <c r="G394" s="254">
        <v>89840000</v>
      </c>
      <c r="H394" s="254"/>
      <c r="I394" s="254"/>
      <c r="J394" s="254"/>
      <c r="K394" s="254"/>
      <c r="L394" s="313"/>
    </row>
    <row r="395" spans="1:15" ht="18.75" hidden="1" customHeight="1" x14ac:dyDescent="0.25">
      <c r="A395" s="241"/>
      <c r="B395" s="499" t="s">
        <v>701</v>
      </c>
      <c r="C395" s="418" t="s">
        <v>535</v>
      </c>
      <c r="D395" s="307"/>
      <c r="E395" s="313"/>
      <c r="F395" s="312"/>
      <c r="G395" s="254">
        <v>91035000</v>
      </c>
      <c r="H395" s="254"/>
      <c r="I395" s="254"/>
      <c r="J395" s="254"/>
      <c r="K395" s="254"/>
      <c r="L395" s="313"/>
    </row>
    <row r="396" spans="1:15" ht="18.75" hidden="1" customHeight="1" x14ac:dyDescent="0.25">
      <c r="A396" s="241"/>
      <c r="B396" s="499" t="s">
        <v>702</v>
      </c>
      <c r="C396" s="418" t="s">
        <v>535</v>
      </c>
      <c r="D396" s="307"/>
      <c r="E396" s="313"/>
      <c r="F396" s="312"/>
      <c r="G396" s="254">
        <v>102550000</v>
      </c>
      <c r="H396" s="254"/>
      <c r="I396" s="254"/>
      <c r="J396" s="254"/>
      <c r="K396" s="254"/>
      <c r="L396" s="313"/>
    </row>
    <row r="397" spans="1:15" ht="30" hidden="1" x14ac:dyDescent="0.25">
      <c r="A397" s="241" t="s">
        <v>587</v>
      </c>
      <c r="B397" s="360" t="s">
        <v>724</v>
      </c>
      <c r="C397" s="377" t="s">
        <v>526</v>
      </c>
      <c r="D397" s="367">
        <v>10</v>
      </c>
      <c r="E397" s="368">
        <f>33.09</f>
        <v>33.090000000000003</v>
      </c>
      <c r="F397" s="369">
        <f>2340000*10%</f>
        <v>234000</v>
      </c>
      <c r="G397" s="247">
        <f>E397*F397*12</f>
        <v>92916720.000000015</v>
      </c>
      <c r="H397" s="247"/>
      <c r="I397" s="247"/>
      <c r="J397" s="247"/>
      <c r="K397" s="491">
        <f>G397-H397-I397</f>
        <v>92916720.000000015</v>
      </c>
      <c r="L397" s="313"/>
    </row>
    <row r="398" spans="1:15" s="510" customFormat="1" ht="24" customHeight="1" x14ac:dyDescent="0.25">
      <c r="A398" s="502" t="s">
        <v>51</v>
      </c>
      <c r="B398" s="503" t="s">
        <v>725</v>
      </c>
      <c r="C398" s="504" t="s">
        <v>526</v>
      </c>
      <c r="D398" s="505">
        <f>D399+D523+D680</f>
        <v>250</v>
      </c>
      <c r="E398" s="506"/>
      <c r="F398" s="654"/>
      <c r="G398" s="654">
        <f>G399+G523+G680+G806</f>
        <v>101511028244.13321</v>
      </c>
      <c r="H398" s="654">
        <f>H399+H523+H680+H806</f>
        <v>1396970999.9990001</v>
      </c>
      <c r="I398" s="654">
        <f>I399+I523+I680+I806</f>
        <v>262040000</v>
      </c>
      <c r="J398" s="654">
        <f>J399+J523+J680+J806</f>
        <v>1422524000</v>
      </c>
      <c r="K398" s="654">
        <f>K399+K523+K680+K806</f>
        <v>98429492000</v>
      </c>
      <c r="L398" s="507"/>
      <c r="M398" s="508">
        <v>106727000000</v>
      </c>
      <c r="N398" s="509">
        <f>M398-K398</f>
        <v>8297508000</v>
      </c>
    </row>
    <row r="399" spans="1:15" s="306" customFormat="1" ht="21.75" customHeight="1" x14ac:dyDescent="0.25">
      <c r="A399" s="300" t="s">
        <v>23</v>
      </c>
      <c r="B399" s="403" t="s">
        <v>726</v>
      </c>
      <c r="C399" s="498" t="s">
        <v>526</v>
      </c>
      <c r="D399" s="302">
        <f>D400+D439+D482</f>
        <v>72</v>
      </c>
      <c r="E399" s="475"/>
      <c r="F399" s="304"/>
      <c r="G399" s="304">
        <f>G400+G439+G482</f>
        <v>24338266652.635002</v>
      </c>
      <c r="H399" s="304">
        <f>H400+H439+H482</f>
        <v>335101999.99950004</v>
      </c>
      <c r="I399" s="304">
        <f>I400+I439+I482</f>
        <v>77460000</v>
      </c>
      <c r="J399" s="304">
        <f>J400+J439+J482</f>
        <v>327533000</v>
      </c>
      <c r="K399" s="304">
        <f>K400+K439+K482</f>
        <v>23598172000</v>
      </c>
      <c r="L399" s="305"/>
    </row>
    <row r="400" spans="1:15" s="676" customFormat="1" ht="24" customHeight="1" x14ac:dyDescent="0.25">
      <c r="A400" s="670" t="s">
        <v>727</v>
      </c>
      <c r="B400" s="671" t="s">
        <v>728</v>
      </c>
      <c r="C400" s="672" t="s">
        <v>526</v>
      </c>
      <c r="D400" s="672">
        <v>29</v>
      </c>
      <c r="E400" s="673"/>
      <c r="F400" s="674"/>
      <c r="G400" s="674">
        <f>SUM(G401:G405)</f>
        <v>10382785888.68</v>
      </c>
      <c r="H400" s="674">
        <f t="shared" ref="H400:K400" si="98">SUM(H401:H405)</f>
        <v>150378000</v>
      </c>
      <c r="I400" s="674">
        <f t="shared" si="98"/>
        <v>31780000</v>
      </c>
      <c r="J400" s="674">
        <f t="shared" si="98"/>
        <v>156072000</v>
      </c>
      <c r="K400" s="674">
        <f t="shared" si="98"/>
        <v>10044556000</v>
      </c>
      <c r="L400" s="678"/>
      <c r="M400" s="699"/>
      <c r="N400" s="677">
        <f>N401+N402</f>
        <v>10044556000</v>
      </c>
      <c r="O400" s="677">
        <f>K400-N400</f>
        <v>0</v>
      </c>
    </row>
    <row r="401" spans="1:16" ht="21" customHeight="1" x14ac:dyDescent="0.25">
      <c r="A401" s="307" t="s">
        <v>576</v>
      </c>
      <c r="B401" s="412" t="s">
        <v>527</v>
      </c>
      <c r="C401" s="319" t="s">
        <v>526</v>
      </c>
      <c r="D401" s="320">
        <f>D415</f>
        <v>29</v>
      </c>
      <c r="E401" s="419">
        <f>E415</f>
        <v>217.01004600000002</v>
      </c>
      <c r="F401" s="312"/>
      <c r="G401" s="323">
        <f>G415</f>
        <v>6093642091.6800003</v>
      </c>
      <c r="H401" s="312"/>
      <c r="I401" s="312"/>
      <c r="J401" s="312"/>
      <c r="K401" s="323">
        <f>G401-92+0.32-J401</f>
        <v>6093642000</v>
      </c>
      <c r="L401" s="313"/>
      <c r="M401" s="242" t="s">
        <v>893</v>
      </c>
      <c r="N401" s="293">
        <f>K401+K402+K403+K404</f>
        <v>7002226000</v>
      </c>
      <c r="P401" s="511"/>
    </row>
    <row r="402" spans="1:16" ht="21" customHeight="1" x14ac:dyDescent="0.25">
      <c r="A402" s="307" t="s">
        <v>583</v>
      </c>
      <c r="B402" s="412" t="s">
        <v>729</v>
      </c>
      <c r="C402" s="365" t="s">
        <v>526</v>
      </c>
      <c r="D402" s="319">
        <f>D427</f>
        <v>29</v>
      </c>
      <c r="E402" s="460">
        <f>E426</f>
        <v>103.645646</v>
      </c>
      <c r="F402" s="512" t="s">
        <v>730</v>
      </c>
      <c r="G402" s="317">
        <f>E402*1490000*12*20/80-0.62</f>
        <v>463296037</v>
      </c>
      <c r="H402" s="317">
        <f>ROUND(G402*10%,-3)</f>
        <v>46330000</v>
      </c>
      <c r="I402" s="317">
        <f>23*710000+6*2340000+1410000</f>
        <v>31780000</v>
      </c>
      <c r="J402" s="317">
        <f>K411</f>
        <v>156072000</v>
      </c>
      <c r="K402" s="317">
        <f>G402-H402-I402-37-J402</f>
        <v>229114000</v>
      </c>
      <c r="L402" s="313"/>
      <c r="M402" s="242" t="s">
        <v>894</v>
      </c>
      <c r="N402" s="293">
        <f>K405</f>
        <v>3042330000</v>
      </c>
    </row>
    <row r="403" spans="1:16" ht="38.25" customHeight="1" x14ac:dyDescent="0.25">
      <c r="A403" s="307" t="s">
        <v>585</v>
      </c>
      <c r="B403" s="412" t="s">
        <v>731</v>
      </c>
      <c r="C403" s="418" t="s">
        <v>732</v>
      </c>
      <c r="D403" s="319">
        <v>9</v>
      </c>
      <c r="E403" s="460"/>
      <c r="F403" s="512">
        <v>50000000</v>
      </c>
      <c r="G403" s="317">
        <f>F403*D403</f>
        <v>450000000</v>
      </c>
      <c r="H403" s="317"/>
      <c r="I403" s="317"/>
      <c r="J403" s="317"/>
      <c r="K403" s="317">
        <f>G403-H403-I403</f>
        <v>450000000</v>
      </c>
      <c r="L403" s="313"/>
      <c r="M403" s="511">
        <f>K402/D402</f>
        <v>7900482.7586206896</v>
      </c>
      <c r="N403" s="293"/>
      <c r="O403" s="293"/>
    </row>
    <row r="404" spans="1:16" ht="38.25" customHeight="1" x14ac:dyDescent="0.25">
      <c r="A404" s="513" t="s">
        <v>587</v>
      </c>
      <c r="B404" s="325" t="s">
        <v>573</v>
      </c>
      <c r="C404" s="319" t="s">
        <v>526</v>
      </c>
      <c r="D404" s="320">
        <f>D401</f>
        <v>29</v>
      </c>
      <c r="E404" s="514">
        <f>E427</f>
        <v>81.72</v>
      </c>
      <c r="F404" s="312">
        <v>234000</v>
      </c>
      <c r="G404" s="312">
        <f>F404*E404*12</f>
        <v>229469760</v>
      </c>
      <c r="H404" s="312"/>
      <c r="I404" s="312"/>
      <c r="J404" s="312"/>
      <c r="K404" s="444">
        <f>G404+240</f>
        <v>229470000</v>
      </c>
      <c r="L404" s="313"/>
      <c r="M404" s="511"/>
      <c r="N404" s="293"/>
      <c r="O404" s="293"/>
    </row>
    <row r="405" spans="1:16" ht="24" customHeight="1" x14ac:dyDescent="0.25">
      <c r="A405" s="307" t="s">
        <v>595</v>
      </c>
      <c r="B405" s="325" t="s">
        <v>733</v>
      </c>
      <c r="C405" s="309"/>
      <c r="D405" s="309"/>
      <c r="E405" s="419"/>
      <c r="F405" s="312"/>
      <c r="G405" s="323">
        <f>SUM(G406:G413)-G409</f>
        <v>3146378000</v>
      </c>
      <c r="H405" s="323">
        <f>SUM(H406:H413)-H409</f>
        <v>104048000</v>
      </c>
      <c r="I405" s="323">
        <f>SUM(I406:I413)-I409</f>
        <v>0</v>
      </c>
      <c r="J405" s="323"/>
      <c r="K405" s="323">
        <f>SUM(K406:K413)-K409</f>
        <v>3042330000</v>
      </c>
      <c r="L405" s="313"/>
      <c r="M405" s="511"/>
      <c r="N405" s="293"/>
      <c r="O405" s="293"/>
    </row>
    <row r="406" spans="1:16" ht="24" customHeight="1" x14ac:dyDescent="0.25">
      <c r="A406" s="513" t="s">
        <v>287</v>
      </c>
      <c r="B406" s="325" t="s">
        <v>734</v>
      </c>
      <c r="C406" s="319"/>
      <c r="D406" s="319"/>
      <c r="E406" s="428"/>
      <c r="F406" s="312"/>
      <c r="G406" s="444">
        <f>G431</f>
        <v>680450000</v>
      </c>
      <c r="H406" s="312"/>
      <c r="I406" s="312"/>
      <c r="J406" s="312"/>
      <c r="K406" s="317">
        <f t="shared" ref="K406:K408" si="99">G406-H406-I406</f>
        <v>680450000</v>
      </c>
      <c r="L406" s="313"/>
      <c r="N406" s="293"/>
      <c r="O406" s="293"/>
    </row>
    <row r="407" spans="1:16" ht="35.25" customHeight="1" x14ac:dyDescent="0.25">
      <c r="A407" s="513" t="s">
        <v>287</v>
      </c>
      <c r="B407" s="325" t="s">
        <v>735</v>
      </c>
      <c r="C407" s="307" t="s">
        <v>521</v>
      </c>
      <c r="D407" s="319">
        <v>12</v>
      </c>
      <c r="E407" s="428"/>
      <c r="F407" s="655">
        <v>4100000</v>
      </c>
      <c r="G407" s="444">
        <f>G432</f>
        <v>442800000</v>
      </c>
      <c r="H407" s="312"/>
      <c r="I407" s="312"/>
      <c r="J407" s="312"/>
      <c r="K407" s="317">
        <f t="shared" si="99"/>
        <v>442800000</v>
      </c>
      <c r="L407" s="316"/>
    </row>
    <row r="408" spans="1:16" ht="35.25" customHeight="1" x14ac:dyDescent="0.25">
      <c r="A408" s="513" t="s">
        <v>287</v>
      </c>
      <c r="B408" s="325" t="s">
        <v>736</v>
      </c>
      <c r="C408" s="319"/>
      <c r="D408" s="319"/>
      <c r="E408" s="428"/>
      <c r="F408" s="312"/>
      <c r="G408" s="444">
        <f>G433</f>
        <v>89240000</v>
      </c>
      <c r="H408" s="312"/>
      <c r="I408" s="312"/>
      <c r="J408" s="312"/>
      <c r="K408" s="317">
        <f t="shared" si="99"/>
        <v>89240000</v>
      </c>
      <c r="L408" s="313"/>
    </row>
    <row r="409" spans="1:16" ht="23.25" customHeight="1" x14ac:dyDescent="0.25">
      <c r="A409" s="513" t="s">
        <v>287</v>
      </c>
      <c r="B409" s="325" t="s">
        <v>613</v>
      </c>
      <c r="C409" s="319"/>
      <c r="D409" s="319"/>
      <c r="E409" s="428"/>
      <c r="F409" s="312"/>
      <c r="G409" s="444">
        <f>G410+G411</f>
        <v>731870000</v>
      </c>
      <c r="H409" s="444">
        <f>H410+H411</f>
        <v>104048000</v>
      </c>
      <c r="I409" s="312"/>
      <c r="J409" s="312"/>
      <c r="K409" s="444">
        <f>K410+K411</f>
        <v>627822000</v>
      </c>
      <c r="L409" s="313"/>
    </row>
    <row r="410" spans="1:16" ht="23.25" customHeight="1" x14ac:dyDescent="0.25">
      <c r="A410" s="515" t="s">
        <v>74</v>
      </c>
      <c r="B410" s="326" t="s">
        <v>737</v>
      </c>
      <c r="C410" s="477"/>
      <c r="D410" s="477"/>
      <c r="E410" s="430"/>
      <c r="F410" s="330"/>
      <c r="G410" s="516">
        <f>G435</f>
        <v>471750000</v>
      </c>
      <c r="H410" s="330"/>
      <c r="I410" s="330"/>
      <c r="J410" s="330"/>
      <c r="K410" s="516">
        <f>G410-H410-I410</f>
        <v>471750000</v>
      </c>
      <c r="L410" s="313"/>
    </row>
    <row r="411" spans="1:16" ht="23.25" customHeight="1" x14ac:dyDescent="0.25">
      <c r="A411" s="515" t="s">
        <v>74</v>
      </c>
      <c r="B411" s="326" t="s">
        <v>738</v>
      </c>
      <c r="C411" s="477"/>
      <c r="D411" s="477"/>
      <c r="E411" s="430"/>
      <c r="F411" s="330"/>
      <c r="G411" s="516">
        <f>G436</f>
        <v>260120000</v>
      </c>
      <c r="H411" s="330">
        <f>G411*0.4</f>
        <v>104048000</v>
      </c>
      <c r="I411" s="330"/>
      <c r="J411" s="330"/>
      <c r="K411" s="516">
        <f>G411-H411-I411</f>
        <v>156072000</v>
      </c>
      <c r="L411" s="313"/>
    </row>
    <row r="412" spans="1:16" ht="33.75" customHeight="1" x14ac:dyDescent="0.25">
      <c r="A412" s="513" t="s">
        <v>287</v>
      </c>
      <c r="B412" s="325" t="s">
        <v>739</v>
      </c>
      <c r="C412" s="319"/>
      <c r="D412" s="319"/>
      <c r="E412" s="428"/>
      <c r="F412" s="312"/>
      <c r="G412" s="444">
        <f>G437</f>
        <v>33000000</v>
      </c>
      <c r="H412" s="312"/>
      <c r="I412" s="312"/>
      <c r="J412" s="312"/>
      <c r="K412" s="317">
        <f>G412-H412-I412</f>
        <v>33000000</v>
      </c>
      <c r="L412" s="313"/>
    </row>
    <row r="413" spans="1:16" ht="33.75" customHeight="1" x14ac:dyDescent="0.25">
      <c r="A413" s="513" t="s">
        <v>287</v>
      </c>
      <c r="B413" s="325" t="s">
        <v>740</v>
      </c>
      <c r="C413" s="319"/>
      <c r="D413" s="319"/>
      <c r="E413" s="428"/>
      <c r="F413" s="312"/>
      <c r="G413" s="444">
        <f>G438</f>
        <v>1169018000</v>
      </c>
      <c r="H413" s="312"/>
      <c r="I413" s="312"/>
      <c r="J413" s="312"/>
      <c r="K413" s="317">
        <f>G413-H413-I413</f>
        <v>1169018000</v>
      </c>
      <c r="L413" s="313"/>
    </row>
    <row r="414" spans="1:16" s="489" customFormat="1" ht="18.75" hidden="1" customHeight="1" x14ac:dyDescent="0.25">
      <c r="A414" s="333"/>
      <c r="B414" s="481" t="s">
        <v>741</v>
      </c>
      <c r="C414" s="482"/>
      <c r="D414" s="483">
        <v>29</v>
      </c>
      <c r="E414" s="484"/>
      <c r="F414" s="337"/>
      <c r="G414" s="486">
        <f>G415+G425+G427+G428+G430</f>
        <v>10382785889.299999</v>
      </c>
      <c r="H414" s="486">
        <f>H415+H425+H427+H428+H430</f>
        <v>150378071.76199999</v>
      </c>
      <c r="I414" s="486">
        <f>I415+I425+I427+I428+I430</f>
        <v>31780000</v>
      </c>
      <c r="J414" s="486">
        <f>J415+J425+J427+J428+J430</f>
        <v>156072000</v>
      </c>
      <c r="K414" s="486">
        <f>K415+K425+K427+K428+K430</f>
        <v>10044555817.538</v>
      </c>
      <c r="L414" s="517"/>
    </row>
    <row r="415" spans="1:16" hidden="1" x14ac:dyDescent="0.25">
      <c r="A415" s="343" t="s">
        <v>541</v>
      </c>
      <c r="B415" s="492" t="s">
        <v>636</v>
      </c>
      <c r="C415" s="345"/>
      <c r="D415" s="345">
        <v>29</v>
      </c>
      <c r="E415" s="493">
        <f>SUM(E416:E424)</f>
        <v>217.01004600000002</v>
      </c>
      <c r="F415" s="347"/>
      <c r="G415" s="494">
        <f>SUM(G416:G424)</f>
        <v>6093642091.6800003</v>
      </c>
      <c r="H415" s="494">
        <f>SUM(H416:H424)</f>
        <v>0</v>
      </c>
      <c r="I415" s="494">
        <f>SUM(I416:I424)</f>
        <v>0</v>
      </c>
      <c r="J415" s="494"/>
      <c r="K415" s="494">
        <f>SUM(K416:K424)</f>
        <v>6093642091.6800003</v>
      </c>
      <c r="L415" s="313"/>
    </row>
    <row r="416" spans="1:16" hidden="1" x14ac:dyDescent="0.25">
      <c r="A416" s="307" t="s">
        <v>287</v>
      </c>
      <c r="B416" s="315" t="s">
        <v>543</v>
      </c>
      <c r="C416" s="365" t="s">
        <v>526</v>
      </c>
      <c r="D416" s="365">
        <v>29</v>
      </c>
      <c r="E416" s="422">
        <f>81.41+0.31</f>
        <v>81.72</v>
      </c>
      <c r="F416" s="312">
        <v>2340000</v>
      </c>
      <c r="G416" s="317">
        <f>E416*F416*12</f>
        <v>2294697600</v>
      </c>
      <c r="H416" s="317"/>
      <c r="I416" s="317"/>
      <c r="J416" s="317"/>
      <c r="K416" s="317">
        <f>G416-H416-I416</f>
        <v>2294697600</v>
      </c>
      <c r="L416" s="313"/>
    </row>
    <row r="417" spans="1:14" hidden="1" x14ac:dyDescent="0.25">
      <c r="A417" s="307" t="s">
        <v>287</v>
      </c>
      <c r="B417" s="315" t="s">
        <v>544</v>
      </c>
      <c r="C417" s="365" t="s">
        <v>526</v>
      </c>
      <c r="D417" s="365">
        <v>10</v>
      </c>
      <c r="E417" s="366">
        <v>2.4499999999999997</v>
      </c>
      <c r="F417" s="312">
        <v>2340000</v>
      </c>
      <c r="G417" s="317">
        <f t="shared" ref="G417:G424" si="100">E417*F417*12</f>
        <v>68795999.999999985</v>
      </c>
      <c r="H417" s="317"/>
      <c r="I417" s="317"/>
      <c r="J417" s="317"/>
      <c r="K417" s="317">
        <f t="shared" ref="K417:K424" si="101">G417-H417-I417</f>
        <v>68795999.999999985</v>
      </c>
      <c r="L417" s="313"/>
    </row>
    <row r="418" spans="1:14" hidden="1" x14ac:dyDescent="0.25">
      <c r="A418" s="307" t="s">
        <v>287</v>
      </c>
      <c r="B418" s="315" t="s">
        <v>546</v>
      </c>
      <c r="C418" s="365" t="s">
        <v>526</v>
      </c>
      <c r="D418" s="365">
        <v>29</v>
      </c>
      <c r="E418" s="366">
        <f>D418*0.7</f>
        <v>20.299999999999997</v>
      </c>
      <c r="F418" s="312">
        <v>2340000</v>
      </c>
      <c r="G418" s="317">
        <f t="shared" si="100"/>
        <v>570023999.99999988</v>
      </c>
      <c r="H418" s="317"/>
      <c r="I418" s="317"/>
      <c r="J418" s="317"/>
      <c r="K418" s="317">
        <f t="shared" si="101"/>
        <v>570023999.99999988</v>
      </c>
      <c r="L418" s="313"/>
    </row>
    <row r="419" spans="1:14" hidden="1" x14ac:dyDescent="0.25">
      <c r="A419" s="307" t="s">
        <v>287</v>
      </c>
      <c r="B419" s="315" t="s">
        <v>547</v>
      </c>
      <c r="C419" s="365" t="s">
        <v>526</v>
      </c>
      <c r="D419" s="365"/>
      <c r="E419" s="366"/>
      <c r="F419" s="312">
        <v>2340000</v>
      </c>
      <c r="G419" s="317">
        <f t="shared" si="100"/>
        <v>0</v>
      </c>
      <c r="H419" s="317"/>
      <c r="I419" s="317"/>
      <c r="J419" s="317"/>
      <c r="K419" s="317">
        <f t="shared" si="101"/>
        <v>0</v>
      </c>
      <c r="L419" s="313"/>
    </row>
    <row r="420" spans="1:14" hidden="1" x14ac:dyDescent="0.25">
      <c r="A420" s="307" t="s">
        <v>287</v>
      </c>
      <c r="B420" s="315" t="s">
        <v>548</v>
      </c>
      <c r="C420" s="365" t="s">
        <v>526</v>
      </c>
      <c r="D420" s="365">
        <v>10</v>
      </c>
      <c r="E420" s="366">
        <f>16.044+0.217</f>
        <v>16.260999999999999</v>
      </c>
      <c r="F420" s="312">
        <v>2340000</v>
      </c>
      <c r="G420" s="317">
        <f t="shared" si="100"/>
        <v>456608880</v>
      </c>
      <c r="H420" s="317"/>
      <c r="I420" s="317"/>
      <c r="J420" s="317"/>
      <c r="K420" s="317">
        <f t="shared" si="101"/>
        <v>456608880</v>
      </c>
      <c r="L420" s="313"/>
    </row>
    <row r="421" spans="1:14" hidden="1" x14ac:dyDescent="0.25">
      <c r="A421" s="307" t="s">
        <v>287</v>
      </c>
      <c r="B421" s="315" t="s">
        <v>549</v>
      </c>
      <c r="C421" s="365" t="s">
        <v>526</v>
      </c>
      <c r="D421" s="365">
        <v>19</v>
      </c>
      <c r="E421" s="366">
        <f>11.9+0.6</f>
        <v>12.5</v>
      </c>
      <c r="F421" s="312">
        <v>2340000</v>
      </c>
      <c r="G421" s="317">
        <f t="shared" si="100"/>
        <v>351000000</v>
      </c>
      <c r="H421" s="317"/>
      <c r="I421" s="317"/>
      <c r="J421" s="317"/>
      <c r="K421" s="317">
        <f t="shared" si="101"/>
        <v>351000000</v>
      </c>
      <c r="L421" s="313"/>
    </row>
    <row r="422" spans="1:14" hidden="1" x14ac:dyDescent="0.25">
      <c r="A422" s="307" t="s">
        <v>287</v>
      </c>
      <c r="B422" s="315" t="s">
        <v>675</v>
      </c>
      <c r="C422" s="365" t="s">
        <v>526</v>
      </c>
      <c r="D422" s="365">
        <v>19</v>
      </c>
      <c r="E422" s="366">
        <f>6.3758+0.0386</f>
        <v>6.4143999999999997</v>
      </c>
      <c r="F422" s="312">
        <v>2340000</v>
      </c>
      <c r="G422" s="317">
        <f t="shared" si="100"/>
        <v>180116352</v>
      </c>
      <c r="H422" s="317"/>
      <c r="I422" s="317"/>
      <c r="J422" s="317"/>
      <c r="K422" s="317">
        <f t="shared" si="101"/>
        <v>180116352</v>
      </c>
      <c r="L422" s="313"/>
    </row>
    <row r="423" spans="1:14" hidden="1" x14ac:dyDescent="0.25">
      <c r="A423" s="307"/>
      <c r="B423" s="315" t="s">
        <v>742</v>
      </c>
      <c r="C423" s="365" t="s">
        <v>526</v>
      </c>
      <c r="D423" s="365">
        <v>29</v>
      </c>
      <c r="E423" s="366">
        <f>57.672+0.217</f>
        <v>57.888999999999996</v>
      </c>
      <c r="F423" s="312">
        <v>2340000</v>
      </c>
      <c r="G423" s="317">
        <f t="shared" si="100"/>
        <v>1625523120</v>
      </c>
      <c r="H423" s="317"/>
      <c r="I423" s="317"/>
      <c r="J423" s="317"/>
      <c r="K423" s="317">
        <f t="shared" si="101"/>
        <v>1625523120</v>
      </c>
      <c r="L423" s="313"/>
    </row>
    <row r="424" spans="1:14" hidden="1" x14ac:dyDescent="0.25">
      <c r="A424" s="307" t="s">
        <v>287</v>
      </c>
      <c r="B424" s="315" t="s">
        <v>676</v>
      </c>
      <c r="C424" s="365" t="s">
        <v>526</v>
      </c>
      <c r="D424" s="365">
        <v>29</v>
      </c>
      <c r="E424" s="366">
        <f>(E416+E417+E422)*21.5%</f>
        <v>19.475646000000001</v>
      </c>
      <c r="F424" s="312">
        <v>2340000</v>
      </c>
      <c r="G424" s="317">
        <f t="shared" si="100"/>
        <v>546876139.68000007</v>
      </c>
      <c r="H424" s="317"/>
      <c r="I424" s="317"/>
      <c r="J424" s="317"/>
      <c r="K424" s="317">
        <f t="shared" si="101"/>
        <v>546876139.68000007</v>
      </c>
      <c r="L424" s="313"/>
    </row>
    <row r="425" spans="1:14" hidden="1" x14ac:dyDescent="0.25">
      <c r="A425" s="241" t="s">
        <v>74</v>
      </c>
      <c r="B425" s="384" t="s">
        <v>591</v>
      </c>
      <c r="C425" s="367"/>
      <c r="D425" s="367"/>
      <c r="E425" s="368"/>
      <c r="F425" s="518"/>
      <c r="G425" s="519">
        <f>G426</f>
        <v>463296037.62</v>
      </c>
      <c r="H425" s="519">
        <f>H426</f>
        <v>46330071.762000002</v>
      </c>
      <c r="I425" s="519">
        <f>I426</f>
        <v>31780000</v>
      </c>
      <c r="J425" s="519">
        <f>J426</f>
        <v>156072000</v>
      </c>
      <c r="K425" s="519">
        <f>K426</f>
        <v>229113965.85799998</v>
      </c>
      <c r="L425" s="313"/>
    </row>
    <row r="426" spans="1:14" ht="30" hidden="1" x14ac:dyDescent="0.25">
      <c r="A426" s="426" t="s">
        <v>287</v>
      </c>
      <c r="B426" s="315" t="s">
        <v>663</v>
      </c>
      <c r="C426" s="365" t="s">
        <v>526</v>
      </c>
      <c r="D426" s="319">
        <v>29</v>
      </c>
      <c r="E426" s="460">
        <f>E416+E417+E424</f>
        <v>103.645646</v>
      </c>
      <c r="F426" s="512" t="s">
        <v>730</v>
      </c>
      <c r="G426" s="317">
        <f>E426*1490000*12*20/80</f>
        <v>463296037.62</v>
      </c>
      <c r="H426" s="317">
        <f>G426*10%+468</f>
        <v>46330071.762000002</v>
      </c>
      <c r="I426" s="317">
        <f>23*710000+6*2340000+1410000</f>
        <v>31780000</v>
      </c>
      <c r="J426" s="317">
        <f>K436</f>
        <v>156072000</v>
      </c>
      <c r="K426" s="317">
        <f>G426-H426-I426-J426</f>
        <v>229113965.85799998</v>
      </c>
      <c r="L426" s="520"/>
      <c r="M426" s="242" t="s">
        <v>743</v>
      </c>
      <c r="N426" s="698">
        <f>G426/D426</f>
        <v>15975725.435172414</v>
      </c>
    </row>
    <row r="427" spans="1:14" s="292" customFormat="1" ht="14.25" hidden="1" x14ac:dyDescent="0.25">
      <c r="A427" s="241" t="s">
        <v>74</v>
      </c>
      <c r="B427" s="384" t="s">
        <v>744</v>
      </c>
      <c r="C427" s="377" t="s">
        <v>526</v>
      </c>
      <c r="D427" s="367">
        <v>29</v>
      </c>
      <c r="E427" s="521">
        <f>E416</f>
        <v>81.72</v>
      </c>
      <c r="F427" s="369">
        <f>2340000*10%</f>
        <v>234000</v>
      </c>
      <c r="G427" s="369">
        <f>F427*E427*12</f>
        <v>229469760</v>
      </c>
      <c r="H427" s="247"/>
      <c r="I427" s="247"/>
      <c r="J427" s="247"/>
      <c r="K427" s="247">
        <f>G427</f>
        <v>229469760</v>
      </c>
      <c r="L427" s="246"/>
    </row>
    <row r="428" spans="1:14" hidden="1" x14ac:dyDescent="0.25">
      <c r="A428" s="241" t="s">
        <v>74</v>
      </c>
      <c r="B428" s="384" t="s">
        <v>745</v>
      </c>
      <c r="C428" s="319"/>
      <c r="D428" s="319"/>
      <c r="E428" s="316"/>
      <c r="F428" s="312"/>
      <c r="G428" s="491">
        <f>G429</f>
        <v>450000000</v>
      </c>
      <c r="H428" s="317">
        <f>H429</f>
        <v>0</v>
      </c>
      <c r="I428" s="317">
        <f>I429</f>
        <v>0</v>
      </c>
      <c r="J428" s="317"/>
      <c r="K428" s="491">
        <f>K429</f>
        <v>450000000</v>
      </c>
      <c r="L428" s="520"/>
    </row>
    <row r="429" spans="1:14" ht="30" hidden="1" x14ac:dyDescent="0.25">
      <c r="A429" s="426" t="s">
        <v>287</v>
      </c>
      <c r="B429" s="524" t="s">
        <v>746</v>
      </c>
      <c r="C429" s="525" t="s">
        <v>732</v>
      </c>
      <c r="D429" s="319">
        <v>9</v>
      </c>
      <c r="E429" s="316"/>
      <c r="F429" s="312">
        <v>50000000</v>
      </c>
      <c r="G429" s="317">
        <f>D429*F429</f>
        <v>450000000</v>
      </c>
      <c r="H429" s="317"/>
      <c r="I429" s="317"/>
      <c r="J429" s="317"/>
      <c r="K429" s="317">
        <f>G429-H429-I429</f>
        <v>450000000</v>
      </c>
      <c r="L429" s="313"/>
    </row>
    <row r="430" spans="1:14" s="292" customFormat="1" ht="20.25" hidden="1" customHeight="1" x14ac:dyDescent="0.25">
      <c r="A430" s="522" t="s">
        <v>74</v>
      </c>
      <c r="B430" s="340" t="s">
        <v>733</v>
      </c>
      <c r="C430" s="367"/>
      <c r="D430" s="367"/>
      <c r="E430" s="523"/>
      <c r="F430" s="369"/>
      <c r="G430" s="518">
        <f>SUM(G431:G438)-G434</f>
        <v>3146378000</v>
      </c>
      <c r="H430" s="518">
        <f t="shared" ref="H430:K430" si="102">SUM(H431:H438)-H434</f>
        <v>104048000</v>
      </c>
      <c r="I430" s="518">
        <f t="shared" si="102"/>
        <v>0</v>
      </c>
      <c r="J430" s="518"/>
      <c r="K430" s="518">
        <f t="shared" si="102"/>
        <v>3042330000</v>
      </c>
      <c r="L430" s="246"/>
    </row>
    <row r="431" spans="1:14" ht="21" hidden="1" customHeight="1" x14ac:dyDescent="0.25">
      <c r="A431" s="513" t="s">
        <v>287</v>
      </c>
      <c r="B431" s="325" t="s">
        <v>734</v>
      </c>
      <c r="C431" s="319"/>
      <c r="D431" s="319"/>
      <c r="E431" s="428"/>
      <c r="F431" s="312"/>
      <c r="G431" s="444">
        <v>680450000</v>
      </c>
      <c r="H431" s="312"/>
      <c r="I431" s="312"/>
      <c r="J431" s="312"/>
      <c r="K431" s="317">
        <f t="shared" ref="K431:K433" si="103">G431-H431-I431</f>
        <v>680450000</v>
      </c>
      <c r="L431" s="313"/>
    </row>
    <row r="432" spans="1:14" ht="33.75" hidden="1" customHeight="1" x14ac:dyDescent="0.25">
      <c r="A432" s="513" t="s">
        <v>287</v>
      </c>
      <c r="B432" s="325" t="s">
        <v>735</v>
      </c>
      <c r="C432" s="307" t="s">
        <v>521</v>
      </c>
      <c r="D432" s="319">
        <v>12</v>
      </c>
      <c r="E432" s="428"/>
      <c r="F432" s="655">
        <v>4100000</v>
      </c>
      <c r="G432" s="444">
        <f>F432*D432*9</f>
        <v>442800000</v>
      </c>
      <c r="H432" s="312"/>
      <c r="I432" s="312"/>
      <c r="J432" s="312"/>
      <c r="K432" s="317">
        <f t="shared" si="103"/>
        <v>442800000</v>
      </c>
      <c r="L432" s="313"/>
    </row>
    <row r="433" spans="1:15" ht="32.25" hidden="1" customHeight="1" x14ac:dyDescent="0.25">
      <c r="A433" s="513" t="s">
        <v>287</v>
      </c>
      <c r="B433" s="325" t="s">
        <v>736</v>
      </c>
      <c r="C433" s="319"/>
      <c r="D433" s="319"/>
      <c r="E433" s="428"/>
      <c r="F433" s="312"/>
      <c r="G433" s="444">
        <v>89240000</v>
      </c>
      <c r="H433" s="312"/>
      <c r="I433" s="312"/>
      <c r="J433" s="312"/>
      <c r="K433" s="317">
        <f t="shared" si="103"/>
        <v>89240000</v>
      </c>
      <c r="L433" s="313"/>
    </row>
    <row r="434" spans="1:15" ht="20.25" hidden="1" customHeight="1" x14ac:dyDescent="0.25">
      <c r="A434" s="513" t="s">
        <v>287</v>
      </c>
      <c r="B434" s="325" t="s">
        <v>613</v>
      </c>
      <c r="C434" s="319"/>
      <c r="D434" s="319"/>
      <c r="E434" s="428"/>
      <c r="F434" s="312"/>
      <c r="G434" s="444">
        <f>G435+G436</f>
        <v>731870000</v>
      </c>
      <c r="H434" s="444">
        <f>H435+H436</f>
        <v>104048000</v>
      </c>
      <c r="I434" s="312"/>
      <c r="J434" s="312"/>
      <c r="K434" s="444">
        <f>K435+K436</f>
        <v>627822000</v>
      </c>
      <c r="L434" s="313"/>
    </row>
    <row r="435" spans="1:15" s="259" customFormat="1" ht="20.25" hidden="1" customHeight="1" x14ac:dyDescent="0.25">
      <c r="A435" s="515"/>
      <c r="B435" s="326" t="s">
        <v>737</v>
      </c>
      <c r="C435" s="477"/>
      <c r="D435" s="477"/>
      <c r="E435" s="430"/>
      <c r="F435" s="330"/>
      <c r="G435" s="516">
        <v>471750000</v>
      </c>
      <c r="H435" s="330"/>
      <c r="I435" s="330"/>
      <c r="J435" s="330"/>
      <c r="K435" s="516">
        <f>G435-H435-I435</f>
        <v>471750000</v>
      </c>
      <c r="L435" s="331"/>
    </row>
    <row r="436" spans="1:15" s="259" customFormat="1" ht="20.25" hidden="1" customHeight="1" x14ac:dyDescent="0.25">
      <c r="A436" s="515"/>
      <c r="B436" s="326" t="s">
        <v>738</v>
      </c>
      <c r="C436" s="477"/>
      <c r="D436" s="477"/>
      <c r="E436" s="430"/>
      <c r="F436" s="330"/>
      <c r="G436" s="516">
        <v>260120000</v>
      </c>
      <c r="H436" s="330">
        <f>G436*0.4</f>
        <v>104048000</v>
      </c>
      <c r="I436" s="330"/>
      <c r="J436" s="330"/>
      <c r="K436" s="516">
        <f>G436-H436-I436</f>
        <v>156072000</v>
      </c>
      <c r="L436" s="331"/>
    </row>
    <row r="437" spans="1:15" ht="33.75" hidden="1" customHeight="1" x14ac:dyDescent="0.25">
      <c r="A437" s="513" t="s">
        <v>287</v>
      </c>
      <c r="B437" s="325" t="s">
        <v>739</v>
      </c>
      <c r="C437" s="319"/>
      <c r="D437" s="319"/>
      <c r="E437" s="428"/>
      <c r="F437" s="312"/>
      <c r="G437" s="444">
        <v>33000000</v>
      </c>
      <c r="H437" s="312"/>
      <c r="I437" s="312"/>
      <c r="J437" s="312"/>
      <c r="K437" s="317">
        <f>G437-H437-I437</f>
        <v>33000000</v>
      </c>
      <c r="L437" s="313"/>
    </row>
    <row r="438" spans="1:15" ht="33.75" hidden="1" customHeight="1" x14ac:dyDescent="0.25">
      <c r="A438" s="513" t="s">
        <v>287</v>
      </c>
      <c r="B438" s="325" t="s">
        <v>740</v>
      </c>
      <c r="C438" s="319"/>
      <c r="D438" s="319"/>
      <c r="E438" s="428"/>
      <c r="F438" s="312"/>
      <c r="G438" s="444">
        <v>1169018000</v>
      </c>
      <c r="H438" s="312"/>
      <c r="I438" s="312"/>
      <c r="J438" s="312"/>
      <c r="K438" s="317">
        <f>G438-H438-I438</f>
        <v>1169018000</v>
      </c>
      <c r="L438" s="313"/>
    </row>
    <row r="439" spans="1:15" s="676" customFormat="1" ht="24" customHeight="1" x14ac:dyDescent="0.25">
      <c r="A439" s="670" t="s">
        <v>747</v>
      </c>
      <c r="B439" s="671" t="s">
        <v>748</v>
      </c>
      <c r="C439" s="672" t="s">
        <v>526</v>
      </c>
      <c r="D439" s="672">
        <v>26</v>
      </c>
      <c r="E439" s="673"/>
      <c r="F439" s="674"/>
      <c r="G439" s="674">
        <f>SUM(G440:G445)</f>
        <v>8450294025.8000002</v>
      </c>
      <c r="H439" s="674">
        <f t="shared" ref="H439:K439" si="104">SUM(H440:H445)</f>
        <v>108524000</v>
      </c>
      <c r="I439" s="674">
        <f t="shared" si="104"/>
        <v>27310000</v>
      </c>
      <c r="J439" s="674">
        <f t="shared" si="104"/>
        <v>99792000</v>
      </c>
      <c r="K439" s="674">
        <f t="shared" si="104"/>
        <v>8214668000</v>
      </c>
      <c r="L439" s="678"/>
      <c r="N439" s="677">
        <f>N440+N441</f>
        <v>8214668000</v>
      </c>
      <c r="O439" s="677">
        <f>K439-N439</f>
        <v>0</v>
      </c>
    </row>
    <row r="440" spans="1:15" ht="21" customHeight="1" x14ac:dyDescent="0.25">
      <c r="A440" s="307" t="s">
        <v>576</v>
      </c>
      <c r="B440" s="412" t="s">
        <v>527</v>
      </c>
      <c r="C440" s="319" t="s">
        <v>526</v>
      </c>
      <c r="D440" s="320">
        <f>D455</f>
        <v>25</v>
      </c>
      <c r="E440" s="419">
        <f>E455</f>
        <v>193.09374750000001</v>
      </c>
      <c r="F440" s="312"/>
      <c r="G440" s="323">
        <f>G455</f>
        <v>5422072429.8000002</v>
      </c>
      <c r="H440" s="312"/>
      <c r="I440" s="312"/>
      <c r="J440" s="312"/>
      <c r="K440" s="317">
        <f>ROUND(G440-H440-I440-J440,-3)</f>
        <v>5422072000</v>
      </c>
      <c r="L440" s="313"/>
      <c r="M440" s="242" t="s">
        <v>893</v>
      </c>
      <c r="N440" s="293">
        <f>K440+K441+K442+K443</f>
        <v>6367636000</v>
      </c>
    </row>
    <row r="441" spans="1:15" ht="21" customHeight="1" x14ac:dyDescent="0.25">
      <c r="A441" s="307" t="s">
        <v>583</v>
      </c>
      <c r="B441" s="412" t="s">
        <v>729</v>
      </c>
      <c r="C441" s="365" t="s">
        <v>526</v>
      </c>
      <c r="D441" s="319">
        <f>D468</f>
        <v>25</v>
      </c>
      <c r="E441" s="460">
        <f>E468</f>
        <v>91.61124749999999</v>
      </c>
      <c r="F441" s="512" t="s">
        <v>730</v>
      </c>
      <c r="G441" s="317">
        <f>E441*1490000*12*20/80-0.325</f>
        <v>409502275.99999994</v>
      </c>
      <c r="H441" s="317">
        <f>ROUND(G441*10%,-3)</f>
        <v>40950000</v>
      </c>
      <c r="I441" s="317">
        <f>20*710000+5*2340000+1410000</f>
        <v>27310000</v>
      </c>
      <c r="J441" s="317">
        <f>K451</f>
        <v>99792000</v>
      </c>
      <c r="K441" s="317">
        <f>ROUND(G441-H441-I441-J441,-3)</f>
        <v>241450000</v>
      </c>
      <c r="L441" s="313"/>
      <c r="M441" s="242" t="s">
        <v>894</v>
      </c>
      <c r="N441" s="293">
        <f>K444+K445</f>
        <v>1847032000</v>
      </c>
    </row>
    <row r="442" spans="1:15" ht="38.25" customHeight="1" x14ac:dyDescent="0.25">
      <c r="A442" s="307" t="s">
        <v>585</v>
      </c>
      <c r="B442" s="412" t="s">
        <v>731</v>
      </c>
      <c r="C442" s="418" t="s">
        <v>732</v>
      </c>
      <c r="D442" s="319">
        <f>D472</f>
        <v>10</v>
      </c>
      <c r="E442" s="460"/>
      <c r="F442" s="512">
        <v>50000000</v>
      </c>
      <c r="G442" s="317">
        <f>F442*D442</f>
        <v>500000000</v>
      </c>
      <c r="H442" s="317"/>
      <c r="I442" s="317"/>
      <c r="J442" s="317"/>
      <c r="K442" s="317">
        <f>G442-H442-I442</f>
        <v>500000000</v>
      </c>
      <c r="L442" s="313"/>
    </row>
    <row r="443" spans="1:15" ht="38.25" customHeight="1" x14ac:dyDescent="0.25">
      <c r="A443" s="513" t="s">
        <v>587</v>
      </c>
      <c r="B443" s="325" t="s">
        <v>573</v>
      </c>
      <c r="C443" s="319" t="s">
        <v>526</v>
      </c>
      <c r="D443" s="320">
        <f>D470</f>
        <v>25</v>
      </c>
      <c r="E443" s="514">
        <f>E470</f>
        <v>72.69</v>
      </c>
      <c r="F443" s="312">
        <v>234000</v>
      </c>
      <c r="G443" s="312">
        <f>F443*E443*12</f>
        <v>204113520</v>
      </c>
      <c r="H443" s="312"/>
      <c r="I443" s="312"/>
      <c r="J443" s="312"/>
      <c r="K443" s="444">
        <f>G443+480</f>
        <v>204114000</v>
      </c>
      <c r="L443" s="313"/>
    </row>
    <row r="444" spans="1:15" ht="34.5" customHeight="1" x14ac:dyDescent="0.25">
      <c r="A444" s="513" t="s">
        <v>595</v>
      </c>
      <c r="B444" s="325" t="s">
        <v>749</v>
      </c>
      <c r="C444" s="319" t="s">
        <v>526</v>
      </c>
      <c r="D444" s="324">
        <f>D466</f>
        <v>1</v>
      </c>
      <c r="E444" s="514"/>
      <c r="F444" s="312"/>
      <c r="G444" s="312">
        <f>G465+G469</f>
        <v>100459800</v>
      </c>
      <c r="H444" s="312">
        <f>ROUND(H465+H469,-3)</f>
        <v>1046000</v>
      </c>
      <c r="I444" s="312">
        <f t="shared" ref="I444" si="105">I465+I469</f>
        <v>0</v>
      </c>
      <c r="J444" s="312"/>
      <c r="K444" s="317">
        <f>ROUND(G444-H444-I444-J444,-3)</f>
        <v>99414000</v>
      </c>
      <c r="L444" s="313"/>
      <c r="M444" s="242" t="s">
        <v>750</v>
      </c>
      <c r="N444" s="293">
        <f>K444+K530+K580+K630+K685+K728</f>
        <v>1189480000</v>
      </c>
    </row>
    <row r="445" spans="1:15" ht="24" customHeight="1" x14ac:dyDescent="0.25">
      <c r="A445" s="307" t="s">
        <v>611</v>
      </c>
      <c r="B445" s="325" t="s">
        <v>733</v>
      </c>
      <c r="C445" s="309"/>
      <c r="D445" s="309"/>
      <c r="E445" s="419"/>
      <c r="F445" s="312"/>
      <c r="G445" s="323">
        <f>SUM(G446:G453)-G449</f>
        <v>1814146000</v>
      </c>
      <c r="H445" s="323">
        <f>SUM(H446:H453)-H449</f>
        <v>66528000</v>
      </c>
      <c r="I445" s="323">
        <f>SUM(I446:I453)-I449</f>
        <v>0</v>
      </c>
      <c r="J445" s="323"/>
      <c r="K445" s="323">
        <f>SUM(K446:K453)-K449</f>
        <v>1747618000</v>
      </c>
      <c r="L445" s="313"/>
    </row>
    <row r="446" spans="1:15" ht="24" customHeight="1" x14ac:dyDescent="0.25">
      <c r="A446" s="513" t="s">
        <v>287</v>
      </c>
      <c r="B446" s="325" t="s">
        <v>734</v>
      </c>
      <c r="C446" s="319"/>
      <c r="D446" s="319"/>
      <c r="E446" s="428"/>
      <c r="F446" s="312"/>
      <c r="G446" s="444">
        <f>G474</f>
        <v>495680000</v>
      </c>
      <c r="H446" s="312"/>
      <c r="I446" s="312"/>
      <c r="J446" s="312"/>
      <c r="K446" s="317">
        <f t="shared" ref="K446:K448" si="106">G446-H446-I446</f>
        <v>495680000</v>
      </c>
      <c r="L446" s="313"/>
    </row>
    <row r="447" spans="1:15" ht="35.25" customHeight="1" x14ac:dyDescent="0.25">
      <c r="A447" s="513" t="s">
        <v>287</v>
      </c>
      <c r="B447" s="325" t="s">
        <v>735</v>
      </c>
      <c r="C447" s="307" t="s">
        <v>521</v>
      </c>
      <c r="D447" s="319">
        <v>11</v>
      </c>
      <c r="E447" s="428"/>
      <c r="F447" s="655">
        <v>4100000</v>
      </c>
      <c r="G447" s="444">
        <f>G475</f>
        <v>406000000</v>
      </c>
      <c r="H447" s="312"/>
      <c r="I447" s="312"/>
      <c r="J447" s="312"/>
      <c r="K447" s="317">
        <f t="shared" si="106"/>
        <v>406000000</v>
      </c>
      <c r="L447" s="316"/>
    </row>
    <row r="448" spans="1:15" ht="35.25" customHeight="1" x14ac:dyDescent="0.25">
      <c r="A448" s="513" t="s">
        <v>287</v>
      </c>
      <c r="B448" s="325" t="s">
        <v>736</v>
      </c>
      <c r="C448" s="319"/>
      <c r="D448" s="319"/>
      <c r="E448" s="428"/>
      <c r="F448" s="312"/>
      <c r="G448" s="444">
        <f>G476</f>
        <v>35696000</v>
      </c>
      <c r="H448" s="312"/>
      <c r="I448" s="312"/>
      <c r="J448" s="312"/>
      <c r="K448" s="317">
        <f t="shared" si="106"/>
        <v>35696000</v>
      </c>
      <c r="L448" s="313"/>
    </row>
    <row r="449" spans="1:12" ht="23.25" customHeight="1" x14ac:dyDescent="0.25">
      <c r="A449" s="513" t="s">
        <v>287</v>
      </c>
      <c r="B449" s="325" t="s">
        <v>613</v>
      </c>
      <c r="C449" s="319"/>
      <c r="D449" s="319"/>
      <c r="E449" s="428"/>
      <c r="F449" s="312"/>
      <c r="G449" s="444">
        <f>G450+G451</f>
        <v>468570000</v>
      </c>
      <c r="H449" s="444">
        <f>H450+H451</f>
        <v>66528000</v>
      </c>
      <c r="I449" s="312"/>
      <c r="J449" s="312"/>
      <c r="K449" s="444">
        <f>K450+K451</f>
        <v>402042000</v>
      </c>
      <c r="L449" s="313"/>
    </row>
    <row r="450" spans="1:12" ht="23.25" customHeight="1" x14ac:dyDescent="0.25">
      <c r="A450" s="515" t="s">
        <v>74</v>
      </c>
      <c r="B450" s="326" t="s">
        <v>737</v>
      </c>
      <c r="C450" s="477"/>
      <c r="D450" s="477"/>
      <c r="E450" s="430"/>
      <c r="F450" s="330"/>
      <c r="G450" s="516">
        <f>G478</f>
        <v>302250000</v>
      </c>
      <c r="H450" s="516"/>
      <c r="I450" s="330"/>
      <c r="J450" s="330"/>
      <c r="K450" s="516">
        <f>G450-H450-I450</f>
        <v>302250000</v>
      </c>
      <c r="L450" s="313"/>
    </row>
    <row r="451" spans="1:12" ht="23.25" customHeight="1" x14ac:dyDescent="0.25">
      <c r="A451" s="515" t="s">
        <v>74</v>
      </c>
      <c r="B451" s="326" t="s">
        <v>738</v>
      </c>
      <c r="C451" s="477"/>
      <c r="D451" s="477"/>
      <c r="E451" s="430"/>
      <c r="F451" s="330"/>
      <c r="G451" s="516">
        <f>G479</f>
        <v>166320000</v>
      </c>
      <c r="H451" s="516">
        <f>H479</f>
        <v>66528000</v>
      </c>
      <c r="I451" s="330"/>
      <c r="J451" s="330"/>
      <c r="K451" s="516">
        <f>G451-H451-I451</f>
        <v>99792000</v>
      </c>
      <c r="L451" s="313"/>
    </row>
    <row r="452" spans="1:12" ht="33.75" customHeight="1" x14ac:dyDescent="0.25">
      <c r="A452" s="513" t="s">
        <v>287</v>
      </c>
      <c r="B452" s="325" t="s">
        <v>739</v>
      </c>
      <c r="C452" s="319"/>
      <c r="D452" s="319"/>
      <c r="E452" s="428"/>
      <c r="F452" s="312"/>
      <c r="G452" s="444">
        <f>G480</f>
        <v>25000000</v>
      </c>
      <c r="H452" s="312"/>
      <c r="I452" s="312"/>
      <c r="J452" s="312"/>
      <c r="K452" s="317">
        <f>G452-H452-I452</f>
        <v>25000000</v>
      </c>
      <c r="L452" s="313"/>
    </row>
    <row r="453" spans="1:12" ht="33.75" customHeight="1" x14ac:dyDescent="0.25">
      <c r="A453" s="513" t="s">
        <v>287</v>
      </c>
      <c r="B453" s="325" t="s">
        <v>740</v>
      </c>
      <c r="C453" s="319"/>
      <c r="D453" s="319"/>
      <c r="E453" s="428"/>
      <c r="F453" s="312"/>
      <c r="G453" s="444">
        <f>G481</f>
        <v>383200000</v>
      </c>
      <c r="H453" s="312"/>
      <c r="I453" s="312"/>
      <c r="J453" s="312"/>
      <c r="K453" s="317">
        <f>G453-H453-I453</f>
        <v>383200000</v>
      </c>
      <c r="L453" s="313"/>
    </row>
    <row r="454" spans="1:12" s="489" customFormat="1" ht="18.75" hidden="1" customHeight="1" x14ac:dyDescent="0.25">
      <c r="A454" s="333"/>
      <c r="B454" s="481" t="s">
        <v>751</v>
      </c>
      <c r="C454" s="482"/>
      <c r="D454" s="483">
        <v>26</v>
      </c>
      <c r="E454" s="484"/>
      <c r="F454" s="337"/>
      <c r="G454" s="486">
        <f>G455+G467+G470+G471+G473+G465</f>
        <v>8450294025.8000002</v>
      </c>
      <c r="H454" s="486">
        <f t="shared" ref="H454:K454" si="107">H455+H467+H470+H471+H473+H465</f>
        <v>108523979.59999999</v>
      </c>
      <c r="I454" s="486">
        <f t="shared" si="107"/>
        <v>27310000</v>
      </c>
      <c r="J454" s="486"/>
      <c r="K454" s="486">
        <f t="shared" si="107"/>
        <v>8214668046.1999998</v>
      </c>
      <c r="L454" s="517"/>
    </row>
    <row r="455" spans="1:12" ht="17.25" hidden="1" customHeight="1" x14ac:dyDescent="0.25">
      <c r="A455" s="343" t="s">
        <v>541</v>
      </c>
      <c r="B455" s="492" t="s">
        <v>636</v>
      </c>
      <c r="C455" s="345"/>
      <c r="D455" s="345">
        <v>25</v>
      </c>
      <c r="E455" s="493">
        <f>SUM(E456:E464)</f>
        <v>193.09374750000001</v>
      </c>
      <c r="F455" s="347"/>
      <c r="G455" s="494">
        <f>SUM(G456:G464)</f>
        <v>5422072429.8000002</v>
      </c>
      <c r="H455" s="494">
        <f>SUM(H456:H464)</f>
        <v>0</v>
      </c>
      <c r="I455" s="494">
        <f>SUM(I456:I464)</f>
        <v>0</v>
      </c>
      <c r="J455" s="494"/>
      <c r="K455" s="494">
        <f>SUM(K456:K464)</f>
        <v>5422072429.8000002</v>
      </c>
      <c r="L455" s="313"/>
    </row>
    <row r="456" spans="1:12" hidden="1" x14ac:dyDescent="0.25">
      <c r="A456" s="307" t="s">
        <v>287</v>
      </c>
      <c r="B456" s="315" t="s">
        <v>543</v>
      </c>
      <c r="C456" s="365" t="s">
        <v>526</v>
      </c>
      <c r="D456" s="365">
        <v>25</v>
      </c>
      <c r="E456" s="422">
        <f>75.64+0.31-3.26</f>
        <v>72.69</v>
      </c>
      <c r="F456" s="312">
        <v>2340000</v>
      </c>
      <c r="G456" s="317">
        <f>E456*F456*12</f>
        <v>2041135200</v>
      </c>
      <c r="H456" s="317"/>
      <c r="I456" s="317"/>
      <c r="J456" s="317"/>
      <c r="K456" s="317">
        <f>G456-H456-I456</f>
        <v>2041135200</v>
      </c>
      <c r="L456" s="313"/>
    </row>
    <row r="457" spans="1:12" hidden="1" x14ac:dyDescent="0.25">
      <c r="A457" s="307" t="s">
        <v>287</v>
      </c>
      <c r="B457" s="315" t="s">
        <v>544</v>
      </c>
      <c r="C457" s="365" t="s">
        <v>526</v>
      </c>
      <c r="D457" s="365">
        <v>6</v>
      </c>
      <c r="E457" s="366">
        <v>1.55</v>
      </c>
      <c r="F457" s="312">
        <v>2340000</v>
      </c>
      <c r="G457" s="317">
        <f t="shared" ref="G457:G464" si="108">E457*F457*12</f>
        <v>43524000</v>
      </c>
      <c r="H457" s="317"/>
      <c r="I457" s="317"/>
      <c r="J457" s="317"/>
      <c r="K457" s="317">
        <f t="shared" ref="K457:K464" si="109">G457-H457-I457</f>
        <v>43524000</v>
      </c>
      <c r="L457" s="313"/>
    </row>
    <row r="458" spans="1:12" hidden="1" x14ac:dyDescent="0.25">
      <c r="A458" s="307" t="s">
        <v>287</v>
      </c>
      <c r="B458" s="315" t="s">
        <v>546</v>
      </c>
      <c r="C458" s="365" t="s">
        <v>526</v>
      </c>
      <c r="D458" s="365">
        <v>26</v>
      </c>
      <c r="E458" s="366">
        <f>D458*0.7</f>
        <v>18.2</v>
      </c>
      <c r="F458" s="312">
        <v>2340000</v>
      </c>
      <c r="G458" s="317">
        <f t="shared" si="108"/>
        <v>511056000</v>
      </c>
      <c r="H458" s="317"/>
      <c r="I458" s="317"/>
      <c r="J458" s="317"/>
      <c r="K458" s="317">
        <f t="shared" si="109"/>
        <v>511056000</v>
      </c>
      <c r="L458" s="313"/>
    </row>
    <row r="459" spans="1:12" hidden="1" x14ac:dyDescent="0.25">
      <c r="A459" s="307" t="s">
        <v>287</v>
      </c>
      <c r="B459" s="315" t="s">
        <v>547</v>
      </c>
      <c r="C459" s="365" t="s">
        <v>526</v>
      </c>
      <c r="D459" s="365"/>
      <c r="E459" s="366"/>
      <c r="F459" s="312">
        <v>2340000</v>
      </c>
      <c r="G459" s="317">
        <f t="shared" si="108"/>
        <v>0</v>
      </c>
      <c r="H459" s="317"/>
      <c r="I459" s="317"/>
      <c r="J459" s="317"/>
      <c r="K459" s="317">
        <f t="shared" si="109"/>
        <v>0</v>
      </c>
      <c r="L459" s="313"/>
    </row>
    <row r="460" spans="1:12" hidden="1" x14ac:dyDescent="0.25">
      <c r="A460" s="307" t="s">
        <v>287</v>
      </c>
      <c r="B460" s="315" t="s">
        <v>548</v>
      </c>
      <c r="C460" s="365" t="s">
        <v>526</v>
      </c>
      <c r="D460" s="365">
        <v>8</v>
      </c>
      <c r="E460" s="366">
        <v>12.558</v>
      </c>
      <c r="F460" s="312">
        <v>2340000</v>
      </c>
      <c r="G460" s="317">
        <f t="shared" si="108"/>
        <v>352628640</v>
      </c>
      <c r="H460" s="317"/>
      <c r="I460" s="317"/>
      <c r="J460" s="317"/>
      <c r="K460" s="317">
        <f t="shared" si="109"/>
        <v>352628640</v>
      </c>
      <c r="L460" s="313"/>
    </row>
    <row r="461" spans="1:12" hidden="1" x14ac:dyDescent="0.25">
      <c r="A461" s="307" t="s">
        <v>287</v>
      </c>
      <c r="B461" s="315" t="s">
        <v>549</v>
      </c>
      <c r="C461" s="365" t="s">
        <v>526</v>
      </c>
      <c r="D461" s="365">
        <v>18</v>
      </c>
      <c r="E461" s="366">
        <f>11.8+1.1-0.7</f>
        <v>12.200000000000001</v>
      </c>
      <c r="F461" s="312">
        <v>2340000</v>
      </c>
      <c r="G461" s="317">
        <f t="shared" si="108"/>
        <v>342576000.00000006</v>
      </c>
      <c r="H461" s="317"/>
      <c r="I461" s="317"/>
      <c r="J461" s="317"/>
      <c r="K461" s="317">
        <f t="shared" si="109"/>
        <v>342576000.00000006</v>
      </c>
      <c r="L461" s="313"/>
    </row>
    <row r="462" spans="1:12" hidden="1" x14ac:dyDescent="0.25">
      <c r="A462" s="307" t="s">
        <v>287</v>
      </c>
      <c r="B462" s="315" t="s">
        <v>675</v>
      </c>
      <c r="C462" s="365" t="s">
        <v>526</v>
      </c>
      <c r="D462" s="365">
        <v>19</v>
      </c>
      <c r="E462" s="366">
        <f>6.2935+0.263</f>
        <v>6.5564999999999998</v>
      </c>
      <c r="F462" s="312">
        <v>2340000</v>
      </c>
      <c r="G462" s="317">
        <f t="shared" si="108"/>
        <v>184106520</v>
      </c>
      <c r="H462" s="317"/>
      <c r="I462" s="317"/>
      <c r="J462" s="317"/>
      <c r="K462" s="317">
        <f t="shared" si="109"/>
        <v>184106520</v>
      </c>
      <c r="L462" s="313"/>
    </row>
    <row r="463" spans="1:12" hidden="1" x14ac:dyDescent="0.25">
      <c r="A463" s="307" t="s">
        <v>287</v>
      </c>
      <c r="B463" s="315" t="s">
        <v>742</v>
      </c>
      <c r="C463" s="365" t="s">
        <v>526</v>
      </c>
      <c r="D463" s="365">
        <v>25</v>
      </c>
      <c r="E463" s="366">
        <f>52.403+0.217-0.652</f>
        <v>51.967999999999996</v>
      </c>
      <c r="F463" s="312">
        <v>2340000</v>
      </c>
      <c r="G463" s="317">
        <f t="shared" si="108"/>
        <v>1459261439.9999998</v>
      </c>
      <c r="H463" s="317"/>
      <c r="I463" s="317"/>
      <c r="J463" s="317"/>
      <c r="K463" s="317">
        <f t="shared" si="109"/>
        <v>1459261439.9999998</v>
      </c>
      <c r="L463" s="313"/>
    </row>
    <row r="464" spans="1:12" hidden="1" x14ac:dyDescent="0.25">
      <c r="A464" s="307" t="s">
        <v>287</v>
      </c>
      <c r="B464" s="315" t="s">
        <v>676</v>
      </c>
      <c r="C464" s="365" t="s">
        <v>526</v>
      </c>
      <c r="D464" s="365">
        <v>26</v>
      </c>
      <c r="E464" s="366">
        <f>(E456+E457+E462)*21.5%</f>
        <v>17.371247499999999</v>
      </c>
      <c r="F464" s="312">
        <v>2340000</v>
      </c>
      <c r="G464" s="317">
        <f t="shared" si="108"/>
        <v>487784629.79999995</v>
      </c>
      <c r="H464" s="317"/>
      <c r="I464" s="317"/>
      <c r="J464" s="317"/>
      <c r="K464" s="317">
        <f t="shared" si="109"/>
        <v>487784629.79999995</v>
      </c>
      <c r="L464" s="313"/>
    </row>
    <row r="465" spans="1:13" s="292" customFormat="1" ht="14.25" hidden="1" x14ac:dyDescent="0.25">
      <c r="A465" s="241" t="s">
        <v>74</v>
      </c>
      <c r="B465" s="384" t="s">
        <v>557</v>
      </c>
      <c r="C465" s="377"/>
      <c r="D465" s="377"/>
      <c r="E465" s="386"/>
      <c r="F465" s="369"/>
      <c r="G465" s="491">
        <f>G466</f>
        <v>90000000</v>
      </c>
      <c r="H465" s="491">
        <f t="shared" ref="H465:K465" si="110">H466</f>
        <v>0</v>
      </c>
      <c r="I465" s="491">
        <f t="shared" si="110"/>
        <v>0</v>
      </c>
      <c r="J465" s="491"/>
      <c r="K465" s="491">
        <f t="shared" si="110"/>
        <v>90000000</v>
      </c>
      <c r="L465" s="246"/>
    </row>
    <row r="466" spans="1:13" hidden="1" x14ac:dyDescent="0.25">
      <c r="A466" s="307" t="s">
        <v>287</v>
      </c>
      <c r="B466" s="315" t="s">
        <v>752</v>
      </c>
      <c r="C466" s="365" t="s">
        <v>526</v>
      </c>
      <c r="D466" s="365">
        <v>1</v>
      </c>
      <c r="E466" s="366"/>
      <c r="F466" s="312">
        <v>10000000</v>
      </c>
      <c r="G466" s="317">
        <f>F466*9</f>
        <v>90000000</v>
      </c>
      <c r="H466" s="317"/>
      <c r="I466" s="317"/>
      <c r="J466" s="317"/>
      <c r="K466" s="317">
        <f>G466</f>
        <v>90000000</v>
      </c>
      <c r="L466" s="313"/>
    </row>
    <row r="467" spans="1:13" hidden="1" x14ac:dyDescent="0.25">
      <c r="A467" s="241" t="s">
        <v>74</v>
      </c>
      <c r="B467" s="384" t="s">
        <v>591</v>
      </c>
      <c r="C467" s="367"/>
      <c r="D467" s="367"/>
      <c r="E467" s="368"/>
      <c r="F467" s="518"/>
      <c r="G467" s="519">
        <f>G468+G469</f>
        <v>419962075.99999994</v>
      </c>
      <c r="H467" s="519">
        <f t="shared" ref="H467:K467" si="111">H468+H469</f>
        <v>41995979.599999994</v>
      </c>
      <c r="I467" s="519">
        <f t="shared" si="111"/>
        <v>27310000</v>
      </c>
      <c r="J467" s="519">
        <f t="shared" si="111"/>
        <v>99792000</v>
      </c>
      <c r="K467" s="519">
        <f t="shared" si="111"/>
        <v>250864096.39999998</v>
      </c>
      <c r="L467" s="313"/>
    </row>
    <row r="468" spans="1:13" hidden="1" x14ac:dyDescent="0.25">
      <c r="A468" s="426" t="s">
        <v>287</v>
      </c>
      <c r="B468" s="315" t="s">
        <v>663</v>
      </c>
      <c r="C468" s="365" t="s">
        <v>526</v>
      </c>
      <c r="D468" s="319">
        <v>25</v>
      </c>
      <c r="E468" s="460">
        <f>E456+E457+E464</f>
        <v>91.61124749999999</v>
      </c>
      <c r="F468" s="512" t="s">
        <v>730</v>
      </c>
      <c r="G468" s="317">
        <f>E468*1490000*12*20/80-0.325</f>
        <v>409502275.99999994</v>
      </c>
      <c r="H468" s="317">
        <f>G468*10%-228</f>
        <v>40949999.599999994</v>
      </c>
      <c r="I468" s="317">
        <f>20*710000+5*2340000+1410000</f>
        <v>27310000</v>
      </c>
      <c r="J468" s="317">
        <f>K479</f>
        <v>99792000</v>
      </c>
      <c r="K468" s="317">
        <f>G468-H468-I468-J468</f>
        <v>241450276.39999998</v>
      </c>
      <c r="L468" s="520"/>
      <c r="M468" s="242">
        <f>D468*0.2</f>
        <v>5</v>
      </c>
    </row>
    <row r="469" spans="1:13" hidden="1" x14ac:dyDescent="0.25">
      <c r="A469" s="426" t="s">
        <v>287</v>
      </c>
      <c r="B469" s="315" t="s">
        <v>557</v>
      </c>
      <c r="C469" s="365" t="s">
        <v>526</v>
      </c>
      <c r="D469" s="319">
        <v>1</v>
      </c>
      <c r="E469" s="460">
        <f>2.34*D469</f>
        <v>2.34</v>
      </c>
      <c r="F469" s="512" t="s">
        <v>730</v>
      </c>
      <c r="G469" s="317">
        <f>E469*1490000*12*20/80</f>
        <v>10459800</v>
      </c>
      <c r="H469" s="317">
        <f>G469*0.1</f>
        <v>1045980</v>
      </c>
      <c r="I469" s="317"/>
      <c r="J469" s="317"/>
      <c r="K469" s="317">
        <f>G469-H469-I469</f>
        <v>9413820</v>
      </c>
      <c r="L469" s="520"/>
    </row>
    <row r="470" spans="1:13" s="292" customFormat="1" ht="14.25" hidden="1" x14ac:dyDescent="0.25">
      <c r="A470" s="241" t="s">
        <v>74</v>
      </c>
      <c r="B470" s="384" t="s">
        <v>744</v>
      </c>
      <c r="C470" s="377" t="s">
        <v>526</v>
      </c>
      <c r="D470" s="367">
        <v>25</v>
      </c>
      <c r="E470" s="521">
        <f>E456</f>
        <v>72.69</v>
      </c>
      <c r="F470" s="369">
        <f>2340000*10%</f>
        <v>234000</v>
      </c>
      <c r="G470" s="369">
        <f>F470*E470*12</f>
        <v>204113520</v>
      </c>
      <c r="H470" s="247"/>
      <c r="I470" s="247"/>
      <c r="J470" s="247"/>
      <c r="K470" s="247">
        <f>G470</f>
        <v>204113520</v>
      </c>
      <c r="L470" s="246"/>
    </row>
    <row r="471" spans="1:13" hidden="1" x14ac:dyDescent="0.25">
      <c r="A471" s="241" t="s">
        <v>74</v>
      </c>
      <c r="B471" s="384" t="s">
        <v>745</v>
      </c>
      <c r="C471" s="319"/>
      <c r="D471" s="319"/>
      <c r="E471" s="316"/>
      <c r="F471" s="312"/>
      <c r="G471" s="491">
        <f>G472</f>
        <v>500000000</v>
      </c>
      <c r="H471" s="317">
        <f>H472</f>
        <v>0</v>
      </c>
      <c r="I471" s="317">
        <f>I472</f>
        <v>0</v>
      </c>
      <c r="J471" s="317"/>
      <c r="K471" s="491">
        <f>K472</f>
        <v>500000000</v>
      </c>
      <c r="L471" s="520"/>
    </row>
    <row r="472" spans="1:13" ht="31.5" hidden="1" customHeight="1" x14ac:dyDescent="0.25">
      <c r="A472" s="426" t="s">
        <v>287</v>
      </c>
      <c r="B472" s="524" t="s">
        <v>746</v>
      </c>
      <c r="C472" s="525" t="s">
        <v>732</v>
      </c>
      <c r="D472" s="319">
        <v>10</v>
      </c>
      <c r="E472" s="316"/>
      <c r="F472" s="312">
        <v>50000000</v>
      </c>
      <c r="G472" s="317">
        <f>D472*F472</f>
        <v>500000000</v>
      </c>
      <c r="H472" s="317"/>
      <c r="I472" s="317"/>
      <c r="J472" s="317"/>
      <c r="K472" s="317">
        <f>G472-H472-I472</f>
        <v>500000000</v>
      </c>
      <c r="L472" s="313"/>
    </row>
    <row r="473" spans="1:13" s="292" customFormat="1" ht="20.25" hidden="1" customHeight="1" x14ac:dyDescent="0.25">
      <c r="A473" s="522" t="s">
        <v>74</v>
      </c>
      <c r="B473" s="340" t="s">
        <v>733</v>
      </c>
      <c r="C473" s="367"/>
      <c r="D473" s="367"/>
      <c r="E473" s="523"/>
      <c r="F473" s="369"/>
      <c r="G473" s="518">
        <f>SUM(G474:G481)-G477</f>
        <v>1814146000</v>
      </c>
      <c r="H473" s="518">
        <f t="shared" ref="H473:K473" si="112">SUM(H474:H481)-H477</f>
        <v>66528000</v>
      </c>
      <c r="I473" s="518">
        <f t="shared" si="112"/>
        <v>0</v>
      </c>
      <c r="J473" s="518"/>
      <c r="K473" s="518">
        <f t="shared" si="112"/>
        <v>1747618000</v>
      </c>
      <c r="L473" s="246"/>
    </row>
    <row r="474" spans="1:13" ht="21" hidden="1" customHeight="1" x14ac:dyDescent="0.25">
      <c r="A474" s="513" t="s">
        <v>287</v>
      </c>
      <c r="B474" s="325" t="s">
        <v>734</v>
      </c>
      <c r="C474" s="319"/>
      <c r="D474" s="319"/>
      <c r="E474" s="428"/>
      <c r="F474" s="312"/>
      <c r="G474" s="444">
        <f>495200000+480000</f>
        <v>495680000</v>
      </c>
      <c r="H474" s="312"/>
      <c r="I474" s="312"/>
      <c r="J474" s="312"/>
      <c r="K474" s="317">
        <f t="shared" ref="K474:K476" si="113">G474-H474-I474</f>
        <v>495680000</v>
      </c>
      <c r="L474" s="313"/>
    </row>
    <row r="475" spans="1:13" ht="33.75" hidden="1" customHeight="1" x14ac:dyDescent="0.25">
      <c r="A475" s="513" t="s">
        <v>287</v>
      </c>
      <c r="B475" s="325" t="s">
        <v>735</v>
      </c>
      <c r="C475" s="307" t="s">
        <v>521</v>
      </c>
      <c r="D475" s="319">
        <v>11</v>
      </c>
      <c r="E475" s="428"/>
      <c r="F475" s="655">
        <v>4100000</v>
      </c>
      <c r="G475" s="444">
        <f>F475*D475*9+100000</f>
        <v>406000000</v>
      </c>
      <c r="H475" s="312"/>
      <c r="I475" s="312"/>
      <c r="J475" s="312"/>
      <c r="K475" s="317">
        <f t="shared" si="113"/>
        <v>406000000</v>
      </c>
      <c r="L475" s="313"/>
    </row>
    <row r="476" spans="1:13" ht="32.25" hidden="1" customHeight="1" x14ac:dyDescent="0.25">
      <c r="A476" s="513" t="s">
        <v>287</v>
      </c>
      <c r="B476" s="325" t="s">
        <v>736</v>
      </c>
      <c r="C476" s="319"/>
      <c r="D476" s="319"/>
      <c r="E476" s="428"/>
      <c r="F476" s="312"/>
      <c r="G476" s="444">
        <v>35696000</v>
      </c>
      <c r="H476" s="312"/>
      <c r="I476" s="312"/>
      <c r="J476" s="312"/>
      <c r="K476" s="317">
        <f t="shared" si="113"/>
        <v>35696000</v>
      </c>
      <c r="L476" s="313"/>
    </row>
    <row r="477" spans="1:13" ht="20.25" hidden="1" customHeight="1" x14ac:dyDescent="0.25">
      <c r="A477" s="513" t="s">
        <v>287</v>
      </c>
      <c r="B477" s="325" t="s">
        <v>613</v>
      </c>
      <c r="C477" s="319"/>
      <c r="D477" s="319"/>
      <c r="E477" s="428"/>
      <c r="F477" s="312"/>
      <c r="G477" s="444">
        <f>G478+G479</f>
        <v>468570000</v>
      </c>
      <c r="H477" s="444">
        <f>H478+H479</f>
        <v>66528000</v>
      </c>
      <c r="I477" s="312"/>
      <c r="J477" s="312"/>
      <c r="K477" s="444">
        <f>K478+K479</f>
        <v>402042000</v>
      </c>
      <c r="L477" s="313"/>
    </row>
    <row r="478" spans="1:13" s="259" customFormat="1" ht="20.25" hidden="1" customHeight="1" x14ac:dyDescent="0.25">
      <c r="A478" s="515"/>
      <c r="B478" s="326" t="s">
        <v>737</v>
      </c>
      <c r="C478" s="477"/>
      <c r="D478" s="477"/>
      <c r="E478" s="430"/>
      <c r="F478" s="330"/>
      <c r="G478" s="516">
        <v>302250000</v>
      </c>
      <c r="H478" s="330"/>
      <c r="I478" s="330"/>
      <c r="J478" s="330"/>
      <c r="K478" s="516">
        <f>G478-H478-I478</f>
        <v>302250000</v>
      </c>
      <c r="L478" s="331"/>
    </row>
    <row r="479" spans="1:13" s="259" customFormat="1" ht="20.25" hidden="1" customHeight="1" x14ac:dyDescent="0.25">
      <c r="A479" s="515"/>
      <c r="B479" s="326" t="s">
        <v>738</v>
      </c>
      <c r="C479" s="477"/>
      <c r="D479" s="477"/>
      <c r="E479" s="430"/>
      <c r="F479" s="330"/>
      <c r="G479" s="516">
        <v>166320000</v>
      </c>
      <c r="H479" s="330">
        <f>G479*0.4</f>
        <v>66528000</v>
      </c>
      <c r="I479" s="330"/>
      <c r="J479" s="330"/>
      <c r="K479" s="516">
        <f>G479-H479-I479</f>
        <v>99792000</v>
      </c>
      <c r="L479" s="331"/>
    </row>
    <row r="480" spans="1:13" ht="33.75" hidden="1" customHeight="1" x14ac:dyDescent="0.25">
      <c r="A480" s="513" t="s">
        <v>287</v>
      </c>
      <c r="B480" s="325" t="s">
        <v>739</v>
      </c>
      <c r="C480" s="319"/>
      <c r="D480" s="319"/>
      <c r="E480" s="428"/>
      <c r="F480" s="312"/>
      <c r="G480" s="444">
        <v>25000000</v>
      </c>
      <c r="H480" s="312"/>
      <c r="I480" s="312"/>
      <c r="J480" s="312"/>
      <c r="K480" s="317">
        <f>G480-H480-I480</f>
        <v>25000000</v>
      </c>
      <c r="L480" s="526"/>
    </row>
    <row r="481" spans="1:15" ht="33.75" hidden="1" customHeight="1" x14ac:dyDescent="0.25">
      <c r="A481" s="513" t="s">
        <v>287</v>
      </c>
      <c r="B481" s="325" t="s">
        <v>740</v>
      </c>
      <c r="C481" s="319"/>
      <c r="D481" s="319"/>
      <c r="E481" s="428"/>
      <c r="F481" s="312"/>
      <c r="G481" s="444">
        <v>383200000</v>
      </c>
      <c r="H481" s="312"/>
      <c r="I481" s="312"/>
      <c r="J481" s="312"/>
      <c r="K481" s="317">
        <f>G481-H481-I481</f>
        <v>383200000</v>
      </c>
      <c r="L481" s="313"/>
    </row>
    <row r="482" spans="1:15" s="676" customFormat="1" ht="24" customHeight="1" x14ac:dyDescent="0.25">
      <c r="A482" s="670" t="s">
        <v>753</v>
      </c>
      <c r="B482" s="671" t="s">
        <v>754</v>
      </c>
      <c r="C482" s="672" t="s">
        <v>526</v>
      </c>
      <c r="D482" s="672">
        <v>17</v>
      </c>
      <c r="E482" s="673"/>
      <c r="F482" s="674"/>
      <c r="G482" s="674">
        <f>SUM(G483:G487)</f>
        <v>5505186738.1550007</v>
      </c>
      <c r="H482" s="674">
        <f t="shared" ref="H482:K482" si="114">SUM(H483:H487)</f>
        <v>76199999.999500006</v>
      </c>
      <c r="I482" s="674">
        <f t="shared" si="114"/>
        <v>18370000</v>
      </c>
      <c r="J482" s="674">
        <f t="shared" si="114"/>
        <v>71669000</v>
      </c>
      <c r="K482" s="674">
        <f t="shared" si="114"/>
        <v>5338948000</v>
      </c>
      <c r="L482" s="678"/>
      <c r="N482" s="677">
        <f>N483+N484</f>
        <v>5338948000</v>
      </c>
      <c r="O482" s="677">
        <f>K482-N482</f>
        <v>0</v>
      </c>
    </row>
    <row r="483" spans="1:15" ht="22.5" customHeight="1" x14ac:dyDescent="0.25">
      <c r="A483" s="307" t="s">
        <v>576</v>
      </c>
      <c r="B483" s="412" t="s">
        <v>527</v>
      </c>
      <c r="C483" s="319" t="s">
        <v>526</v>
      </c>
      <c r="D483" s="320">
        <f>D498</f>
        <v>17</v>
      </c>
      <c r="E483" s="419">
        <f>E498</f>
        <v>129.72299849999999</v>
      </c>
      <c r="F483" s="312"/>
      <c r="G483" s="323">
        <f>G498</f>
        <v>3642621797.8800001</v>
      </c>
      <c r="H483" s="312"/>
      <c r="I483" s="312"/>
      <c r="J483" s="312"/>
      <c r="K483" s="323">
        <f>G483+202-0.1555</f>
        <v>3642621999.7245002</v>
      </c>
      <c r="L483" s="313"/>
      <c r="M483" s="242" t="s">
        <v>893</v>
      </c>
      <c r="N483" s="293">
        <f>K483+K484+K485+K486</f>
        <v>4248409000</v>
      </c>
    </row>
    <row r="484" spans="1:15" ht="22.5" customHeight="1" x14ac:dyDescent="0.25">
      <c r="A484" s="307" t="s">
        <v>583</v>
      </c>
      <c r="B484" s="412" t="s">
        <v>729</v>
      </c>
      <c r="C484" s="365" t="s">
        <v>526</v>
      </c>
      <c r="D484" s="319">
        <v>17</v>
      </c>
      <c r="E484" s="460">
        <f>E499+E500+E507</f>
        <v>63.582098500000001</v>
      </c>
      <c r="F484" s="512" t="s">
        <v>730</v>
      </c>
      <c r="G484" s="317">
        <f>E484*1490000*12*20/80-0.02</f>
        <v>284211980.27500004</v>
      </c>
      <c r="H484" s="317">
        <f>G484*10%-198-0.028</f>
        <v>28420999.999500003</v>
      </c>
      <c r="I484" s="317">
        <f>14*710000+3*2340000+1410000</f>
        <v>18370000</v>
      </c>
      <c r="J484" s="317">
        <f>K494</f>
        <v>71669000</v>
      </c>
      <c r="K484" s="317">
        <f>G484-H484-I484+20-J484</f>
        <v>165752000.27550003</v>
      </c>
      <c r="L484" s="313"/>
      <c r="M484" s="242" t="s">
        <v>894</v>
      </c>
      <c r="N484" s="293">
        <f>K487</f>
        <v>1090539000</v>
      </c>
    </row>
    <row r="485" spans="1:15" ht="35.25" customHeight="1" x14ac:dyDescent="0.25">
      <c r="A485" s="307" t="s">
        <v>585</v>
      </c>
      <c r="B485" s="412" t="s">
        <v>731</v>
      </c>
      <c r="C485" s="418" t="s">
        <v>732</v>
      </c>
      <c r="D485" s="319">
        <v>6</v>
      </c>
      <c r="E485" s="460"/>
      <c r="F485" s="512">
        <v>50000000</v>
      </c>
      <c r="G485" s="317">
        <f>F485*D485</f>
        <v>300000000</v>
      </c>
      <c r="H485" s="317"/>
      <c r="I485" s="317"/>
      <c r="J485" s="317"/>
      <c r="K485" s="317">
        <f>G485-H485-I485</f>
        <v>300000000</v>
      </c>
      <c r="L485" s="313"/>
    </row>
    <row r="486" spans="1:15" ht="34.5" customHeight="1" x14ac:dyDescent="0.25">
      <c r="A486" s="513" t="s">
        <v>587</v>
      </c>
      <c r="B486" s="325" t="s">
        <v>573</v>
      </c>
      <c r="C486" s="319" t="s">
        <v>526</v>
      </c>
      <c r="D486" s="319">
        <v>17</v>
      </c>
      <c r="E486" s="514">
        <f>E499</f>
        <v>49.870000000000005</v>
      </c>
      <c r="F486" s="312">
        <v>234000</v>
      </c>
      <c r="G486" s="312">
        <f>F486*E486*12</f>
        <v>140034960.00000003</v>
      </c>
      <c r="H486" s="312"/>
      <c r="I486" s="312"/>
      <c r="J486" s="312"/>
      <c r="K486" s="444">
        <f>G486+40</f>
        <v>140035000.00000003</v>
      </c>
      <c r="L486" s="313"/>
    </row>
    <row r="487" spans="1:15" ht="21" customHeight="1" x14ac:dyDescent="0.25">
      <c r="A487" s="307" t="s">
        <v>595</v>
      </c>
      <c r="B487" s="325" t="s">
        <v>733</v>
      </c>
      <c r="C487" s="309"/>
      <c r="D487" s="309"/>
      <c r="E487" s="419"/>
      <c r="F487" s="312"/>
      <c r="G487" s="323">
        <f>SUM(G488:G496)-G492</f>
        <v>1138318000</v>
      </c>
      <c r="H487" s="323">
        <f t="shared" ref="H487:K487" si="115">SUM(H488:H496)-H492</f>
        <v>47779000</v>
      </c>
      <c r="I487" s="323">
        <f t="shared" si="115"/>
        <v>0</v>
      </c>
      <c r="J487" s="323"/>
      <c r="K487" s="323">
        <f t="shared" si="115"/>
        <v>1090539000</v>
      </c>
      <c r="L487" s="313"/>
    </row>
    <row r="488" spans="1:15" ht="21" customHeight="1" x14ac:dyDescent="0.25">
      <c r="A488" s="513" t="s">
        <v>287</v>
      </c>
      <c r="B488" s="325" t="s">
        <v>734</v>
      </c>
      <c r="C488" s="319"/>
      <c r="D488" s="319"/>
      <c r="E488" s="428"/>
      <c r="F488" s="312"/>
      <c r="G488" s="444">
        <f>G514</f>
        <v>327870000</v>
      </c>
      <c r="H488" s="312"/>
      <c r="I488" s="312"/>
      <c r="J488" s="312"/>
      <c r="K488" s="317">
        <f t="shared" ref="K488:K491" si="116">G488-H488-I488</f>
        <v>327870000</v>
      </c>
      <c r="L488" s="313"/>
    </row>
    <row r="489" spans="1:15" ht="45" x14ac:dyDescent="0.25">
      <c r="A489" s="513" t="s">
        <v>287</v>
      </c>
      <c r="B489" s="325" t="s">
        <v>755</v>
      </c>
      <c r="C489" s="319"/>
      <c r="D489" s="319"/>
      <c r="E489" s="428"/>
      <c r="F489" s="312"/>
      <c r="G489" s="444">
        <f t="shared" ref="G489:G491" si="117">G515</f>
        <v>0</v>
      </c>
      <c r="H489" s="312"/>
      <c r="I489" s="312"/>
      <c r="J489" s="312"/>
      <c r="K489" s="317">
        <f t="shared" si="116"/>
        <v>0</v>
      </c>
      <c r="L489" s="313"/>
    </row>
    <row r="490" spans="1:15" ht="33.75" customHeight="1" x14ac:dyDescent="0.25">
      <c r="A490" s="513" t="s">
        <v>287</v>
      </c>
      <c r="B490" s="325" t="s">
        <v>735</v>
      </c>
      <c r="C490" s="307" t="s">
        <v>521</v>
      </c>
      <c r="D490" s="319">
        <v>8</v>
      </c>
      <c r="E490" s="428"/>
      <c r="F490" s="655">
        <v>4100000</v>
      </c>
      <c r="G490" s="444">
        <f t="shared" si="117"/>
        <v>295200000</v>
      </c>
      <c r="H490" s="312"/>
      <c r="I490" s="312"/>
      <c r="J490" s="312"/>
      <c r="K490" s="317">
        <f t="shared" si="116"/>
        <v>295200000</v>
      </c>
      <c r="L490" s="316"/>
    </row>
    <row r="491" spans="1:15" ht="30" x14ac:dyDescent="0.25">
      <c r="A491" s="513" t="s">
        <v>287</v>
      </c>
      <c r="B491" s="325" t="s">
        <v>736</v>
      </c>
      <c r="C491" s="319"/>
      <c r="D491" s="319"/>
      <c r="E491" s="428"/>
      <c r="F491" s="312"/>
      <c r="G491" s="444">
        <f t="shared" si="117"/>
        <v>35696000</v>
      </c>
      <c r="H491" s="312"/>
      <c r="I491" s="312"/>
      <c r="J491" s="312"/>
      <c r="K491" s="317">
        <f t="shared" si="116"/>
        <v>35696000</v>
      </c>
      <c r="L491" s="313"/>
    </row>
    <row r="492" spans="1:15" ht="20.25" customHeight="1" x14ac:dyDescent="0.25">
      <c r="A492" s="513" t="s">
        <v>287</v>
      </c>
      <c r="B492" s="325" t="s">
        <v>613</v>
      </c>
      <c r="C492" s="319"/>
      <c r="D492" s="319"/>
      <c r="E492" s="428"/>
      <c r="F492" s="312"/>
      <c r="G492" s="444">
        <f>G493+G494</f>
        <v>312048000</v>
      </c>
      <c r="H492" s="444">
        <f>H493+H494</f>
        <v>47779000</v>
      </c>
      <c r="I492" s="312"/>
      <c r="J492" s="312"/>
      <c r="K492" s="444">
        <f>K493+K494</f>
        <v>264269000</v>
      </c>
      <c r="L492" s="313"/>
    </row>
    <row r="493" spans="1:15" ht="20.25" customHeight="1" x14ac:dyDescent="0.25">
      <c r="A493" s="515" t="s">
        <v>74</v>
      </c>
      <c r="B493" s="326" t="s">
        <v>737</v>
      </c>
      <c r="C493" s="477"/>
      <c r="D493" s="477"/>
      <c r="E493" s="430"/>
      <c r="F493" s="330"/>
      <c r="G493" s="516">
        <f>G519</f>
        <v>192600000</v>
      </c>
      <c r="H493" s="330"/>
      <c r="I493" s="330"/>
      <c r="J493" s="330"/>
      <c r="K493" s="516">
        <f>G493-H493-I493</f>
        <v>192600000</v>
      </c>
      <c r="L493" s="313"/>
    </row>
    <row r="494" spans="1:15" ht="20.25" customHeight="1" x14ac:dyDescent="0.25">
      <c r="A494" s="515" t="s">
        <v>74</v>
      </c>
      <c r="B494" s="326" t="s">
        <v>738</v>
      </c>
      <c r="C494" s="477"/>
      <c r="D494" s="477"/>
      <c r="E494" s="430"/>
      <c r="F494" s="330"/>
      <c r="G494" s="516">
        <f>G520</f>
        <v>119448000</v>
      </c>
      <c r="H494" s="330">
        <f>G494*0.4-200</f>
        <v>47779000</v>
      </c>
      <c r="I494" s="330"/>
      <c r="J494" s="330"/>
      <c r="K494" s="516">
        <f>G494-H494-I494</f>
        <v>71669000</v>
      </c>
      <c r="L494" s="313"/>
    </row>
    <row r="495" spans="1:15" ht="34.5" customHeight="1" x14ac:dyDescent="0.25">
      <c r="A495" s="513" t="s">
        <v>287</v>
      </c>
      <c r="B495" s="325" t="s">
        <v>739</v>
      </c>
      <c r="C495" s="319"/>
      <c r="D495" s="319"/>
      <c r="E495" s="428"/>
      <c r="F495" s="312"/>
      <c r="G495" s="444">
        <f>G521</f>
        <v>12000000</v>
      </c>
      <c r="H495" s="312"/>
      <c r="I495" s="312"/>
      <c r="J495" s="312"/>
      <c r="K495" s="317">
        <f>G495-H495-I495</f>
        <v>12000000</v>
      </c>
      <c r="L495" s="313"/>
    </row>
    <row r="496" spans="1:15" ht="34.5" customHeight="1" x14ac:dyDescent="0.25">
      <c r="A496" s="513" t="s">
        <v>287</v>
      </c>
      <c r="B496" s="325" t="s">
        <v>740</v>
      </c>
      <c r="C496" s="319"/>
      <c r="D496" s="319"/>
      <c r="E496" s="428"/>
      <c r="F496" s="312"/>
      <c r="G496" s="444">
        <f>G522</f>
        <v>155504000</v>
      </c>
      <c r="H496" s="312"/>
      <c r="I496" s="312"/>
      <c r="J496" s="312"/>
      <c r="K496" s="317">
        <f>G496-H496-I496</f>
        <v>155504000</v>
      </c>
      <c r="L496" s="313"/>
    </row>
    <row r="497" spans="1:13" s="489" customFormat="1" ht="18.75" hidden="1" customHeight="1" x14ac:dyDescent="0.25">
      <c r="A497" s="333"/>
      <c r="B497" s="481" t="s">
        <v>756</v>
      </c>
      <c r="C497" s="482"/>
      <c r="D497" s="483"/>
      <c r="E497" s="484"/>
      <c r="F497" s="337"/>
      <c r="G497" s="486">
        <f>G498+G508+G510+G511+G513</f>
        <v>5505186738.1750002</v>
      </c>
      <c r="H497" s="486">
        <f>H498+H508+H510+H511+H513</f>
        <v>76200112.029500008</v>
      </c>
      <c r="I497" s="486">
        <f>I498+I508+I510+I511+I513</f>
        <v>18370000</v>
      </c>
      <c r="J497" s="486">
        <f>J498+J508+J510+J511+J513</f>
        <v>71669000</v>
      </c>
      <c r="K497" s="486">
        <f>K498+K508+K510+K511+K513</f>
        <v>5338947626.1455002</v>
      </c>
      <c r="L497" s="517"/>
    </row>
    <row r="498" spans="1:13" hidden="1" x14ac:dyDescent="0.25">
      <c r="A498" s="343" t="s">
        <v>541</v>
      </c>
      <c r="B498" s="492" t="s">
        <v>636</v>
      </c>
      <c r="C498" s="345"/>
      <c r="D498" s="345">
        <f>D499</f>
        <v>17</v>
      </c>
      <c r="E498" s="493">
        <f>SUM(E499:E507)</f>
        <v>129.72299849999999</v>
      </c>
      <c r="F498" s="347"/>
      <c r="G498" s="494">
        <f>SUM(G499:G507)</f>
        <v>3642621797.8800001</v>
      </c>
      <c r="H498" s="494">
        <f>SUM(H499:H507)</f>
        <v>0</v>
      </c>
      <c r="I498" s="494">
        <f>SUM(I499:I507)</f>
        <v>0</v>
      </c>
      <c r="J498" s="494"/>
      <c r="K498" s="494">
        <f>SUM(K499:K507)</f>
        <v>3642621797.8800001</v>
      </c>
      <c r="L498" s="313"/>
    </row>
    <row r="499" spans="1:13" hidden="1" x14ac:dyDescent="0.25">
      <c r="A499" s="307" t="s">
        <v>287</v>
      </c>
      <c r="B499" s="315" t="s">
        <v>543</v>
      </c>
      <c r="C499" s="365" t="s">
        <v>526</v>
      </c>
      <c r="D499" s="365">
        <v>17</v>
      </c>
      <c r="E499" s="422">
        <f>49.56+0.31</f>
        <v>49.870000000000005</v>
      </c>
      <c r="F499" s="312">
        <v>2340000</v>
      </c>
      <c r="G499" s="317">
        <f>E499*F499*12</f>
        <v>1400349600.0000002</v>
      </c>
      <c r="H499" s="317"/>
      <c r="I499" s="317"/>
      <c r="J499" s="317"/>
      <c r="K499" s="317">
        <f>G499-H499-I499</f>
        <v>1400349600.0000002</v>
      </c>
      <c r="L499" s="313"/>
    </row>
    <row r="500" spans="1:13" hidden="1" x14ac:dyDescent="0.25">
      <c r="A500" s="307" t="s">
        <v>287</v>
      </c>
      <c r="B500" s="315" t="s">
        <v>544</v>
      </c>
      <c r="C500" s="365" t="s">
        <v>526</v>
      </c>
      <c r="D500" s="365">
        <v>6</v>
      </c>
      <c r="E500" s="366">
        <v>1.55</v>
      </c>
      <c r="F500" s="312">
        <v>2340000</v>
      </c>
      <c r="G500" s="317">
        <f t="shared" ref="G500:G507" si="118">E500*F500*12</f>
        <v>43524000</v>
      </c>
      <c r="H500" s="317"/>
      <c r="I500" s="317"/>
      <c r="J500" s="317"/>
      <c r="K500" s="317">
        <f t="shared" ref="K500:K507" si="119">G500-H500-I500</f>
        <v>43524000</v>
      </c>
      <c r="L500" s="313"/>
    </row>
    <row r="501" spans="1:13" hidden="1" x14ac:dyDescent="0.25">
      <c r="A501" s="307" t="s">
        <v>287</v>
      </c>
      <c r="B501" s="315" t="s">
        <v>546</v>
      </c>
      <c r="C501" s="365" t="s">
        <v>526</v>
      </c>
      <c r="D501" s="365">
        <v>17</v>
      </c>
      <c r="E501" s="366">
        <v>11.9</v>
      </c>
      <c r="F501" s="312">
        <v>2340000</v>
      </c>
      <c r="G501" s="317">
        <f t="shared" si="118"/>
        <v>334152000</v>
      </c>
      <c r="H501" s="317"/>
      <c r="I501" s="317"/>
      <c r="J501" s="317"/>
      <c r="K501" s="317">
        <f t="shared" si="119"/>
        <v>334152000</v>
      </c>
      <c r="L501" s="313"/>
    </row>
    <row r="502" spans="1:13" hidden="1" x14ac:dyDescent="0.25">
      <c r="A502" s="307" t="s">
        <v>287</v>
      </c>
      <c r="B502" s="315" t="s">
        <v>547</v>
      </c>
      <c r="C502" s="365" t="s">
        <v>526</v>
      </c>
      <c r="D502" s="365"/>
      <c r="E502" s="366"/>
      <c r="F502" s="312">
        <v>2340000</v>
      </c>
      <c r="G502" s="317">
        <f t="shared" si="118"/>
        <v>0</v>
      </c>
      <c r="H502" s="317"/>
      <c r="I502" s="317"/>
      <c r="J502" s="317"/>
      <c r="K502" s="317">
        <f t="shared" si="119"/>
        <v>0</v>
      </c>
      <c r="L502" s="313"/>
    </row>
    <row r="503" spans="1:13" hidden="1" x14ac:dyDescent="0.25">
      <c r="A503" s="307" t="s">
        <v>287</v>
      </c>
      <c r="B503" s="315" t="s">
        <v>548</v>
      </c>
      <c r="C503" s="365" t="s">
        <v>526</v>
      </c>
      <c r="D503" s="365">
        <v>4</v>
      </c>
      <c r="E503" s="366">
        <f>7.399-1.47</f>
        <v>5.9290000000000003</v>
      </c>
      <c r="F503" s="312">
        <v>2340000</v>
      </c>
      <c r="G503" s="317">
        <f t="shared" si="118"/>
        <v>166486320</v>
      </c>
      <c r="H503" s="317"/>
      <c r="I503" s="317"/>
      <c r="J503" s="317"/>
      <c r="K503" s="317">
        <f t="shared" si="119"/>
        <v>166486320</v>
      </c>
      <c r="L503" s="313"/>
    </row>
    <row r="504" spans="1:13" hidden="1" x14ac:dyDescent="0.25">
      <c r="A504" s="307" t="s">
        <v>287</v>
      </c>
      <c r="B504" s="315" t="s">
        <v>549</v>
      </c>
      <c r="C504" s="365" t="s">
        <v>526</v>
      </c>
      <c r="D504" s="365">
        <v>12</v>
      </c>
      <c r="E504" s="366">
        <v>8.1</v>
      </c>
      <c r="F504" s="312">
        <v>2340000</v>
      </c>
      <c r="G504" s="317">
        <f t="shared" si="118"/>
        <v>227448000</v>
      </c>
      <c r="H504" s="317"/>
      <c r="I504" s="317"/>
      <c r="J504" s="317"/>
      <c r="K504" s="317">
        <f t="shared" si="119"/>
        <v>227448000</v>
      </c>
      <c r="L504" s="313"/>
    </row>
    <row r="505" spans="1:13" hidden="1" x14ac:dyDescent="0.25">
      <c r="A505" s="307" t="s">
        <v>287</v>
      </c>
      <c r="B505" s="315" t="s">
        <v>675</v>
      </c>
      <c r="C505" s="365" t="s">
        <v>526</v>
      </c>
      <c r="D505" s="365">
        <f>12+1</f>
        <v>13</v>
      </c>
      <c r="E505" s="366">
        <f>4.9424+0.2055</f>
        <v>5.1478999999999999</v>
      </c>
      <c r="F505" s="312">
        <v>2340000</v>
      </c>
      <c r="G505" s="317">
        <f t="shared" si="118"/>
        <v>144553032</v>
      </c>
      <c r="H505" s="317"/>
      <c r="I505" s="317"/>
      <c r="J505" s="317"/>
      <c r="K505" s="317">
        <f t="shared" si="119"/>
        <v>144553032</v>
      </c>
      <c r="L505" s="313"/>
    </row>
    <row r="506" spans="1:13" hidden="1" x14ac:dyDescent="0.25">
      <c r="A506" s="307"/>
      <c r="B506" s="315" t="s">
        <v>742</v>
      </c>
      <c r="C506" s="365" t="s">
        <v>526</v>
      </c>
      <c r="D506" s="365">
        <v>17</v>
      </c>
      <c r="E506" s="366">
        <f>34.847+0.217</f>
        <v>35.064</v>
      </c>
      <c r="F506" s="312">
        <v>2340000</v>
      </c>
      <c r="G506" s="317">
        <f t="shared" si="118"/>
        <v>984597120</v>
      </c>
      <c r="H506" s="317"/>
      <c r="I506" s="317"/>
      <c r="J506" s="317"/>
      <c r="K506" s="317">
        <f t="shared" si="119"/>
        <v>984597120</v>
      </c>
      <c r="L506" s="313"/>
    </row>
    <row r="507" spans="1:13" hidden="1" x14ac:dyDescent="0.25">
      <c r="A507" s="307" t="s">
        <v>287</v>
      </c>
      <c r="B507" s="315" t="s">
        <v>676</v>
      </c>
      <c r="C507" s="365" t="s">
        <v>526</v>
      </c>
      <c r="D507" s="365">
        <v>17</v>
      </c>
      <c r="E507" s="366">
        <f>(E499+E500+E505)*21.5%</f>
        <v>12.162098500000001</v>
      </c>
      <c r="F507" s="312">
        <v>2340000</v>
      </c>
      <c r="G507" s="317">
        <f t="shared" si="118"/>
        <v>341511725.88</v>
      </c>
      <c r="H507" s="317"/>
      <c r="I507" s="317"/>
      <c r="J507" s="317"/>
      <c r="K507" s="317">
        <f t="shared" si="119"/>
        <v>341511725.88</v>
      </c>
      <c r="L507" s="313"/>
    </row>
    <row r="508" spans="1:13" hidden="1" x14ac:dyDescent="0.25">
      <c r="A508" s="241" t="s">
        <v>74</v>
      </c>
      <c r="B508" s="384" t="s">
        <v>591</v>
      </c>
      <c r="C508" s="367"/>
      <c r="D508" s="367"/>
      <c r="E508" s="368"/>
      <c r="F508" s="518"/>
      <c r="G508" s="519">
        <f>G509</f>
        <v>284211980.29500002</v>
      </c>
      <c r="H508" s="519">
        <f>H509</f>
        <v>28421112.029500004</v>
      </c>
      <c r="I508" s="519">
        <f>I509</f>
        <v>18370000</v>
      </c>
      <c r="J508" s="519">
        <f>J509</f>
        <v>71669000</v>
      </c>
      <c r="K508" s="519">
        <f>K509</f>
        <v>165751868.26550001</v>
      </c>
      <c r="L508" s="313"/>
    </row>
    <row r="509" spans="1:13" hidden="1" x14ac:dyDescent="0.25">
      <c r="A509" s="426" t="s">
        <v>287</v>
      </c>
      <c r="B509" s="315" t="s">
        <v>663</v>
      </c>
      <c r="C509" s="365" t="s">
        <v>526</v>
      </c>
      <c r="D509" s="319">
        <v>17</v>
      </c>
      <c r="E509" s="460">
        <f>E499+E500+E507</f>
        <v>63.582098500000001</v>
      </c>
      <c r="F509" s="512" t="s">
        <v>730</v>
      </c>
      <c r="G509" s="317">
        <f>E509*1490000*12*20/80</f>
        <v>284211980.29500002</v>
      </c>
      <c r="H509" s="317">
        <f>G509*10%-86</f>
        <v>28421112.029500004</v>
      </c>
      <c r="I509" s="317">
        <f>14*710000+3*2340000+1410000</f>
        <v>18370000</v>
      </c>
      <c r="J509" s="317">
        <f>K520</f>
        <v>71669000</v>
      </c>
      <c r="K509" s="317">
        <f>G509-H509-I509-J509</f>
        <v>165751868.26550001</v>
      </c>
      <c r="L509" s="520"/>
      <c r="M509" s="242">
        <f>D509*0.2</f>
        <v>3.4000000000000004</v>
      </c>
    </row>
    <row r="510" spans="1:13" s="292" customFormat="1" ht="14.25" hidden="1" x14ac:dyDescent="0.25">
      <c r="A510" s="241" t="s">
        <v>74</v>
      </c>
      <c r="B510" s="384" t="s">
        <v>744</v>
      </c>
      <c r="C510" s="377" t="s">
        <v>526</v>
      </c>
      <c r="D510" s="367">
        <v>17</v>
      </c>
      <c r="E510" s="521">
        <f>E499</f>
        <v>49.870000000000005</v>
      </c>
      <c r="F510" s="369">
        <f>2340000*10%</f>
        <v>234000</v>
      </c>
      <c r="G510" s="369">
        <f>F510*E510*12</f>
        <v>140034960.00000003</v>
      </c>
      <c r="H510" s="247"/>
      <c r="I510" s="247"/>
      <c r="J510" s="247"/>
      <c r="K510" s="247">
        <f>G510</f>
        <v>140034960.00000003</v>
      </c>
      <c r="L510" s="527"/>
    </row>
    <row r="511" spans="1:13" hidden="1" x14ac:dyDescent="0.25">
      <c r="A511" s="241" t="s">
        <v>74</v>
      </c>
      <c r="B511" s="384" t="s">
        <v>745</v>
      </c>
      <c r="C511" s="319"/>
      <c r="D511" s="319"/>
      <c r="E511" s="316"/>
      <c r="F511" s="312"/>
      <c r="G511" s="491">
        <f>G512</f>
        <v>300000000</v>
      </c>
      <c r="H511" s="317">
        <f>H512</f>
        <v>0</v>
      </c>
      <c r="I511" s="317">
        <f>I512</f>
        <v>0</v>
      </c>
      <c r="J511" s="317"/>
      <c r="K511" s="491">
        <f>K512</f>
        <v>300000000</v>
      </c>
      <c r="L511" s="313"/>
    </row>
    <row r="512" spans="1:13" ht="30" hidden="1" x14ac:dyDescent="0.25">
      <c r="A512" s="426" t="s">
        <v>287</v>
      </c>
      <c r="B512" s="524" t="s">
        <v>746</v>
      </c>
      <c r="C512" s="525" t="s">
        <v>732</v>
      </c>
      <c r="D512" s="319">
        <v>6</v>
      </c>
      <c r="E512" s="316"/>
      <c r="F512" s="312">
        <v>50000000</v>
      </c>
      <c r="G512" s="317">
        <f>D512*F512</f>
        <v>300000000</v>
      </c>
      <c r="H512" s="317"/>
      <c r="I512" s="317"/>
      <c r="J512" s="317"/>
      <c r="K512" s="317">
        <f>G512-H512-I512</f>
        <v>300000000</v>
      </c>
      <c r="L512" s="313"/>
    </row>
    <row r="513" spans="1:15" s="292" customFormat="1" ht="20.25" hidden="1" customHeight="1" x14ac:dyDescent="0.25">
      <c r="A513" s="522" t="s">
        <v>74</v>
      </c>
      <c r="B513" s="340" t="s">
        <v>733</v>
      </c>
      <c r="C513" s="367"/>
      <c r="D513" s="367"/>
      <c r="E513" s="523"/>
      <c r="F513" s="369"/>
      <c r="G513" s="518">
        <f>SUM(G514:G522)-G518</f>
        <v>1138318000</v>
      </c>
      <c r="H513" s="518">
        <f t="shared" ref="H513:K513" si="120">SUM(H514:H522)-H518</f>
        <v>47779000</v>
      </c>
      <c r="I513" s="518">
        <f t="shared" si="120"/>
        <v>0</v>
      </c>
      <c r="J513" s="518"/>
      <c r="K513" s="518">
        <f t="shared" si="120"/>
        <v>1090539000</v>
      </c>
      <c r="L513" s="246"/>
    </row>
    <row r="514" spans="1:15" ht="21" hidden="1" customHeight="1" x14ac:dyDescent="0.25">
      <c r="A514" s="513" t="s">
        <v>287</v>
      </c>
      <c r="B514" s="325" t="s">
        <v>734</v>
      </c>
      <c r="C514" s="319"/>
      <c r="D514" s="319"/>
      <c r="E514" s="428"/>
      <c r="F514" s="312"/>
      <c r="G514" s="444">
        <v>327870000</v>
      </c>
      <c r="H514" s="312"/>
      <c r="I514" s="312"/>
      <c r="J514" s="312"/>
      <c r="K514" s="317">
        <f t="shared" ref="K514:K517" si="121">G514-H514-I514</f>
        <v>327870000</v>
      </c>
      <c r="L514" s="313"/>
    </row>
    <row r="515" spans="1:15" ht="33.75" hidden="1" customHeight="1" x14ac:dyDescent="0.25">
      <c r="A515" s="513" t="s">
        <v>287</v>
      </c>
      <c r="B515" s="325" t="s">
        <v>755</v>
      </c>
      <c r="C515" s="319"/>
      <c r="D515" s="319"/>
      <c r="E515" s="428"/>
      <c r="F515" s="312"/>
      <c r="G515" s="444"/>
      <c r="H515" s="312"/>
      <c r="I515" s="312"/>
      <c r="J515" s="312"/>
      <c r="K515" s="317">
        <f t="shared" si="121"/>
        <v>0</v>
      </c>
      <c r="L515" s="313"/>
    </row>
    <row r="516" spans="1:15" ht="33.75" hidden="1" customHeight="1" x14ac:dyDescent="0.25">
      <c r="A516" s="513" t="s">
        <v>287</v>
      </c>
      <c r="B516" s="325" t="s">
        <v>735</v>
      </c>
      <c r="C516" s="307" t="s">
        <v>521</v>
      </c>
      <c r="D516" s="319">
        <v>8</v>
      </c>
      <c r="E516" s="428"/>
      <c r="F516" s="655">
        <v>4100000</v>
      </c>
      <c r="G516" s="444">
        <f>F516*D516*9</f>
        <v>295200000</v>
      </c>
      <c r="H516" s="312"/>
      <c r="I516" s="312"/>
      <c r="J516" s="312"/>
      <c r="K516" s="317">
        <f t="shared" si="121"/>
        <v>295200000</v>
      </c>
      <c r="L516" s="313"/>
    </row>
    <row r="517" spans="1:15" ht="32.25" hidden="1" customHeight="1" x14ac:dyDescent="0.25">
      <c r="A517" s="513" t="s">
        <v>287</v>
      </c>
      <c r="B517" s="325" t="s">
        <v>736</v>
      </c>
      <c r="C517" s="319"/>
      <c r="D517" s="319"/>
      <c r="E517" s="428"/>
      <c r="F517" s="312"/>
      <c r="G517" s="444">
        <v>35696000</v>
      </c>
      <c r="H517" s="312"/>
      <c r="I517" s="312"/>
      <c r="J517" s="312"/>
      <c r="K517" s="317">
        <f t="shared" si="121"/>
        <v>35696000</v>
      </c>
      <c r="L517" s="313"/>
    </row>
    <row r="518" spans="1:15" ht="20.25" hidden="1" customHeight="1" x14ac:dyDescent="0.25">
      <c r="A518" s="513" t="s">
        <v>287</v>
      </c>
      <c r="B518" s="325" t="s">
        <v>613</v>
      </c>
      <c r="C518" s="319"/>
      <c r="D518" s="319"/>
      <c r="E518" s="428"/>
      <c r="F518" s="312"/>
      <c r="G518" s="444">
        <f>G519+G520</f>
        <v>312048000</v>
      </c>
      <c r="H518" s="444">
        <f>H519+H520</f>
        <v>47779000</v>
      </c>
      <c r="I518" s="312"/>
      <c r="J518" s="312"/>
      <c r="K518" s="444">
        <f>K519+K520</f>
        <v>264269000</v>
      </c>
      <c r="L518" s="313"/>
    </row>
    <row r="519" spans="1:15" s="259" customFormat="1" ht="20.25" hidden="1" customHeight="1" x14ac:dyDescent="0.25">
      <c r="A519" s="515"/>
      <c r="B519" s="326" t="s">
        <v>737</v>
      </c>
      <c r="C519" s="477"/>
      <c r="D519" s="477"/>
      <c r="E519" s="430"/>
      <c r="F519" s="330"/>
      <c r="G519" s="516">
        <v>192600000</v>
      </c>
      <c r="H519" s="330"/>
      <c r="I519" s="330"/>
      <c r="J519" s="330"/>
      <c r="K519" s="516">
        <f>G519-H519-I519</f>
        <v>192600000</v>
      </c>
      <c r="L519" s="331"/>
    </row>
    <row r="520" spans="1:15" s="259" customFormat="1" ht="20.25" hidden="1" customHeight="1" x14ac:dyDescent="0.25">
      <c r="A520" s="515"/>
      <c r="B520" s="326" t="s">
        <v>738</v>
      </c>
      <c r="C520" s="477"/>
      <c r="D520" s="477"/>
      <c r="E520" s="430"/>
      <c r="F520" s="330"/>
      <c r="G520" s="516">
        <v>119448000</v>
      </c>
      <c r="H520" s="330">
        <f>G520*0.4-200</f>
        <v>47779000</v>
      </c>
      <c r="I520" s="330"/>
      <c r="J520" s="330"/>
      <c r="K520" s="516">
        <f>G520-H520-I520</f>
        <v>71669000</v>
      </c>
      <c r="L520" s="331"/>
    </row>
    <row r="521" spans="1:15" ht="33.75" hidden="1" customHeight="1" x14ac:dyDescent="0.25">
      <c r="A521" s="513" t="s">
        <v>287</v>
      </c>
      <c r="B521" s="325" t="s">
        <v>739</v>
      </c>
      <c r="C521" s="319"/>
      <c r="D521" s="319"/>
      <c r="E521" s="428"/>
      <c r="F521" s="312"/>
      <c r="G521" s="444">
        <v>12000000</v>
      </c>
      <c r="H521" s="312"/>
      <c r="I521" s="312"/>
      <c r="J521" s="312"/>
      <c r="K521" s="317">
        <f>G521-H521-I521</f>
        <v>12000000</v>
      </c>
      <c r="L521" s="313"/>
    </row>
    <row r="522" spans="1:15" ht="33.75" hidden="1" customHeight="1" x14ac:dyDescent="0.25">
      <c r="A522" s="513" t="s">
        <v>287</v>
      </c>
      <c r="B522" s="325" t="s">
        <v>740</v>
      </c>
      <c r="C522" s="319"/>
      <c r="D522" s="319"/>
      <c r="E522" s="428"/>
      <c r="F522" s="312"/>
      <c r="G522" s="444">
        <v>155504000</v>
      </c>
      <c r="H522" s="312"/>
      <c r="I522" s="312"/>
      <c r="J522" s="312"/>
      <c r="K522" s="317">
        <f>G522-H522-I522</f>
        <v>155504000</v>
      </c>
      <c r="L522" s="313"/>
    </row>
    <row r="523" spans="1:15" s="306" customFormat="1" ht="24.75" customHeight="1" x14ac:dyDescent="0.25">
      <c r="A523" s="300" t="s">
        <v>27</v>
      </c>
      <c r="B523" s="403" t="s">
        <v>757</v>
      </c>
      <c r="C523" s="498" t="s">
        <v>526</v>
      </c>
      <c r="D523" s="302">
        <f>D524+D574+D624</f>
        <v>115</v>
      </c>
      <c r="E523" s="475"/>
      <c r="F523" s="304"/>
      <c r="G523" s="304">
        <f>G524+G574+G624</f>
        <v>49490211183.963203</v>
      </c>
      <c r="H523" s="304">
        <f>H524+H574+H624</f>
        <v>630235000</v>
      </c>
      <c r="I523" s="304">
        <f>I524+I574+I624</f>
        <v>117480000</v>
      </c>
      <c r="J523" s="304">
        <f>J524+J574+J624</f>
        <v>621336000</v>
      </c>
      <c r="K523" s="304">
        <f>K524+K574+K624</f>
        <v>48121160000</v>
      </c>
      <c r="L523" s="305"/>
    </row>
    <row r="524" spans="1:15" s="676" customFormat="1" ht="21.75" customHeight="1" x14ac:dyDescent="0.25">
      <c r="A524" s="670" t="s">
        <v>758</v>
      </c>
      <c r="B524" s="671" t="s">
        <v>759</v>
      </c>
      <c r="C524" s="672" t="s">
        <v>526</v>
      </c>
      <c r="D524" s="672">
        <v>45</v>
      </c>
      <c r="E524" s="673"/>
      <c r="F524" s="674"/>
      <c r="G524" s="674">
        <f>SUM(G525:G531)</f>
        <v>21027411275.549183</v>
      </c>
      <c r="H524" s="674">
        <f t="shared" ref="H524:K524" si="122">SUM(H525:H531)</f>
        <v>252821999.99999997</v>
      </c>
      <c r="I524" s="674">
        <f t="shared" si="122"/>
        <v>47320000</v>
      </c>
      <c r="J524" s="674">
        <f t="shared" si="122"/>
        <v>259680000</v>
      </c>
      <c r="K524" s="674">
        <f t="shared" si="122"/>
        <v>20467589000</v>
      </c>
      <c r="L524" s="678"/>
      <c r="N524" s="677">
        <f>N525+N526</f>
        <v>20467589000</v>
      </c>
      <c r="O524" s="677">
        <f>K524-N524</f>
        <v>0</v>
      </c>
    </row>
    <row r="525" spans="1:15" ht="23.25" customHeight="1" x14ac:dyDescent="0.25">
      <c r="A525" s="307" t="s">
        <v>576</v>
      </c>
      <c r="B525" s="412" t="s">
        <v>527</v>
      </c>
      <c r="C525" s="319" t="s">
        <v>526</v>
      </c>
      <c r="D525" s="320">
        <f>D542</f>
        <v>43</v>
      </c>
      <c r="E525" s="419">
        <f>E542</f>
        <v>392.95317681999995</v>
      </c>
      <c r="F525" s="312"/>
      <c r="G525" s="444">
        <f>G542</f>
        <v>11021278605.105598</v>
      </c>
      <c r="H525" s="312"/>
      <c r="I525" s="312"/>
      <c r="J525" s="312"/>
      <c r="K525" s="317">
        <f>ROUND(G525-H525-I525-J525,-3)</f>
        <v>11021279000</v>
      </c>
      <c r="L525" s="313"/>
      <c r="M525" s="242" t="s">
        <v>893</v>
      </c>
      <c r="N525" s="293">
        <f>K525+K526+K527+K528+K529</f>
        <v>12270523000</v>
      </c>
    </row>
    <row r="526" spans="1:15" ht="23.25" customHeight="1" x14ac:dyDescent="0.25">
      <c r="A526" s="307" t="s">
        <v>583</v>
      </c>
      <c r="B526" s="412" t="s">
        <v>729</v>
      </c>
      <c r="C526" s="365" t="s">
        <v>526</v>
      </c>
      <c r="D526" s="319">
        <f>D558</f>
        <v>43</v>
      </c>
      <c r="E526" s="460">
        <f>E558</f>
        <v>185.35318881999999</v>
      </c>
      <c r="F526" s="512" t="s">
        <v>760</v>
      </c>
      <c r="G526" s="317">
        <f>E526*1490000*12*19/81</f>
        <v>777385003.77691853</v>
      </c>
      <c r="H526" s="317">
        <f>ROUND(G526*10%,-3)</f>
        <v>77739000</v>
      </c>
      <c r="I526" s="317">
        <f>35*710000+9*2340000+1410000</f>
        <v>47320000</v>
      </c>
      <c r="J526" s="317">
        <f>K535</f>
        <v>259680000</v>
      </c>
      <c r="K526" s="317">
        <f>ROUND(G526-H526-I526-J526,-3)</f>
        <v>392646000</v>
      </c>
      <c r="L526" s="313"/>
      <c r="M526" s="242" t="s">
        <v>894</v>
      </c>
      <c r="N526" s="293">
        <f>K530+K531</f>
        <v>8197066000</v>
      </c>
    </row>
    <row r="527" spans="1:15" ht="23.25" customHeight="1" x14ac:dyDescent="0.25">
      <c r="A527" s="426" t="s">
        <v>585</v>
      </c>
      <c r="B527" s="529" t="s">
        <v>761</v>
      </c>
      <c r="C527" s="307" t="s">
        <v>762</v>
      </c>
      <c r="D527" s="319">
        <v>1</v>
      </c>
      <c r="E527" s="316"/>
      <c r="F527" s="312">
        <v>100000000</v>
      </c>
      <c r="G527" s="317">
        <f>F527*D527</f>
        <v>100000000</v>
      </c>
      <c r="H527" s="317"/>
      <c r="I527" s="317"/>
      <c r="J527" s="317"/>
      <c r="K527" s="317">
        <f>G527-H527-I527</f>
        <v>100000000</v>
      </c>
      <c r="L527" s="313"/>
    </row>
    <row r="528" spans="1:15" ht="35.25" customHeight="1" x14ac:dyDescent="0.25">
      <c r="A528" s="307" t="s">
        <v>587</v>
      </c>
      <c r="B528" s="412" t="s">
        <v>731</v>
      </c>
      <c r="C528" s="418" t="s">
        <v>732</v>
      </c>
      <c r="D528" s="319">
        <f>D563</f>
        <v>7</v>
      </c>
      <c r="E528" s="460"/>
      <c r="F528" s="512">
        <v>50000000</v>
      </c>
      <c r="G528" s="317">
        <f>F528*D528</f>
        <v>350000000</v>
      </c>
      <c r="H528" s="317"/>
      <c r="I528" s="317"/>
      <c r="J528" s="317"/>
      <c r="K528" s="317">
        <f>G528-H528-I528</f>
        <v>350000000</v>
      </c>
      <c r="L528" s="313"/>
    </row>
    <row r="529" spans="1:13" ht="34.5" customHeight="1" x14ac:dyDescent="0.25">
      <c r="A529" s="513" t="s">
        <v>595</v>
      </c>
      <c r="B529" s="325" t="s">
        <v>573</v>
      </c>
      <c r="C529" s="319" t="s">
        <v>526</v>
      </c>
      <c r="D529" s="319">
        <f>D560</f>
        <v>43</v>
      </c>
      <c r="E529" s="514">
        <f>E560</f>
        <v>144.79999999999998</v>
      </c>
      <c r="F529" s="312">
        <v>234000</v>
      </c>
      <c r="G529" s="312">
        <f>F529*E529*12</f>
        <v>406598399.99999988</v>
      </c>
      <c r="H529" s="312"/>
      <c r="I529" s="312"/>
      <c r="J529" s="312"/>
      <c r="K529" s="444">
        <f>G529-400</f>
        <v>406597999.99999988</v>
      </c>
      <c r="L529" s="476"/>
    </row>
    <row r="530" spans="1:13" ht="34.5" customHeight="1" x14ac:dyDescent="0.25">
      <c r="A530" s="513" t="s">
        <v>611</v>
      </c>
      <c r="B530" s="325" t="s">
        <v>749</v>
      </c>
      <c r="C530" s="319" t="s">
        <v>526</v>
      </c>
      <c r="D530" s="324">
        <f>D556</f>
        <v>2</v>
      </c>
      <c r="E530" s="514"/>
      <c r="F530" s="312"/>
      <c r="G530" s="312">
        <f>G555+G559</f>
        <v>199628266.66666666</v>
      </c>
      <c r="H530" s="312">
        <f>H555+H559+174-0.6666667</f>
        <v>1962999.9999999669</v>
      </c>
      <c r="I530" s="312">
        <f>I555+I559</f>
        <v>0</v>
      </c>
      <c r="J530" s="312"/>
      <c r="K530" s="317">
        <f>G530-H530-I530-J530-266-0.66666667</f>
        <v>197665000.00000003</v>
      </c>
      <c r="L530" s="313"/>
      <c r="M530" s="242" t="s">
        <v>750</v>
      </c>
    </row>
    <row r="531" spans="1:13" ht="21" customHeight="1" x14ac:dyDescent="0.25">
      <c r="A531" s="307" t="s">
        <v>616</v>
      </c>
      <c r="B531" s="325" t="s">
        <v>733</v>
      </c>
      <c r="C531" s="309"/>
      <c r="D531" s="309"/>
      <c r="E531" s="419"/>
      <c r="F531" s="312"/>
      <c r="G531" s="323">
        <f>SUM(G532:G540)-G533</f>
        <v>8172521000</v>
      </c>
      <c r="H531" s="323">
        <f t="shared" ref="H531" si="123">SUM(H532:H540)-H533</f>
        <v>173120000</v>
      </c>
      <c r="I531" s="323">
        <f t="shared" ref="I531" si="124">SUM(I532:I540)-I533</f>
        <v>0</v>
      </c>
      <c r="J531" s="323"/>
      <c r="K531" s="323">
        <f>SUM(K532:K540)-K533</f>
        <v>7999401000</v>
      </c>
      <c r="L531" s="313"/>
    </row>
    <row r="532" spans="1:13" ht="35.25" customHeight="1" x14ac:dyDescent="0.25">
      <c r="A532" s="307" t="s">
        <v>287</v>
      </c>
      <c r="B532" s="325" t="s">
        <v>763</v>
      </c>
      <c r="C532" s="309"/>
      <c r="D532" s="309"/>
      <c r="E532" s="419"/>
      <c r="F532" s="312"/>
      <c r="G532" s="444">
        <f>G565</f>
        <v>713664000</v>
      </c>
      <c r="H532" s="312"/>
      <c r="I532" s="312"/>
      <c r="J532" s="312"/>
      <c r="K532" s="323">
        <f>G532</f>
        <v>713664000</v>
      </c>
      <c r="L532" s="476"/>
    </row>
    <row r="533" spans="1:13" ht="21" customHeight="1" x14ac:dyDescent="0.25">
      <c r="A533" s="307" t="s">
        <v>287</v>
      </c>
      <c r="B533" s="325" t="s">
        <v>613</v>
      </c>
      <c r="C533" s="309"/>
      <c r="D533" s="309"/>
      <c r="E533" s="419"/>
      <c r="F533" s="312"/>
      <c r="G533" s="444">
        <f>G534+G535</f>
        <v>1215800000</v>
      </c>
      <c r="H533" s="444">
        <f t="shared" ref="H533:K533" si="125">H534+H535</f>
        <v>173120000</v>
      </c>
      <c r="I533" s="444">
        <f t="shared" si="125"/>
        <v>0</v>
      </c>
      <c r="J533" s="444"/>
      <c r="K533" s="444">
        <f t="shared" si="125"/>
        <v>1042680000</v>
      </c>
      <c r="L533" s="313"/>
    </row>
    <row r="534" spans="1:13" ht="21" customHeight="1" x14ac:dyDescent="0.25">
      <c r="A534" s="307" t="s">
        <v>74</v>
      </c>
      <c r="B534" s="326" t="s">
        <v>737</v>
      </c>
      <c r="C534" s="309"/>
      <c r="D534" s="309"/>
      <c r="E534" s="419"/>
      <c r="F534" s="312"/>
      <c r="G534" s="516">
        <f>G567</f>
        <v>783000000</v>
      </c>
      <c r="H534" s="330"/>
      <c r="I534" s="330"/>
      <c r="J534" s="330"/>
      <c r="K534" s="329">
        <f>G534-H534-I534</f>
        <v>783000000</v>
      </c>
      <c r="L534" s="313"/>
    </row>
    <row r="535" spans="1:13" ht="21" customHeight="1" x14ac:dyDescent="0.25">
      <c r="A535" s="307" t="s">
        <v>74</v>
      </c>
      <c r="B535" s="326" t="s">
        <v>738</v>
      </c>
      <c r="C535" s="309"/>
      <c r="D535" s="309"/>
      <c r="E535" s="419"/>
      <c r="F535" s="312"/>
      <c r="G535" s="516">
        <f>G568</f>
        <v>432800000</v>
      </c>
      <c r="H535" s="516">
        <f>G535*40%</f>
        <v>173120000</v>
      </c>
      <c r="I535" s="330"/>
      <c r="J535" s="330"/>
      <c r="K535" s="329">
        <f>G535-H535-I535</f>
        <v>259680000</v>
      </c>
      <c r="L535" s="313"/>
    </row>
    <row r="536" spans="1:13" ht="35.25" customHeight="1" x14ac:dyDescent="0.25">
      <c r="A536" s="307" t="s">
        <v>287</v>
      </c>
      <c r="B536" s="325" t="s">
        <v>764</v>
      </c>
      <c r="C536" s="309"/>
      <c r="D536" s="309"/>
      <c r="E536" s="419"/>
      <c r="F536" s="312"/>
      <c r="G536" s="444">
        <f>G569</f>
        <v>340000000</v>
      </c>
      <c r="H536" s="312"/>
      <c r="I536" s="312"/>
      <c r="J536" s="312"/>
      <c r="K536" s="323">
        <f>G536</f>
        <v>340000000</v>
      </c>
      <c r="L536" s="313"/>
    </row>
    <row r="537" spans="1:13" ht="35.25" customHeight="1" x14ac:dyDescent="0.25">
      <c r="A537" s="307" t="s">
        <v>287</v>
      </c>
      <c r="B537" s="325" t="s">
        <v>740</v>
      </c>
      <c r="C537" s="309"/>
      <c r="D537" s="309"/>
      <c r="E537" s="419"/>
      <c r="F537" s="312"/>
      <c r="G537" s="444">
        <f t="shared" ref="G537:G540" si="126">G570</f>
        <v>5736918000</v>
      </c>
      <c r="H537" s="312"/>
      <c r="I537" s="312"/>
      <c r="J537" s="312"/>
      <c r="K537" s="323">
        <f t="shared" ref="K537:K538" si="127">G537</f>
        <v>5736918000</v>
      </c>
      <c r="L537" s="313"/>
    </row>
    <row r="538" spans="1:13" ht="35.25" customHeight="1" x14ac:dyDescent="0.25">
      <c r="A538" s="513" t="s">
        <v>287</v>
      </c>
      <c r="B538" s="325" t="s">
        <v>765</v>
      </c>
      <c r="C538" s="319"/>
      <c r="D538" s="319"/>
      <c r="E538" s="428"/>
      <c r="F538" s="312"/>
      <c r="G538" s="444">
        <f t="shared" si="126"/>
        <v>76000000</v>
      </c>
      <c r="H538" s="312"/>
      <c r="I538" s="312"/>
      <c r="J538" s="312"/>
      <c r="K538" s="323">
        <f t="shared" si="127"/>
        <v>76000000</v>
      </c>
      <c r="L538" s="313"/>
    </row>
    <row r="539" spans="1:13" ht="51.75" customHeight="1" x14ac:dyDescent="0.25">
      <c r="A539" s="513" t="s">
        <v>287</v>
      </c>
      <c r="B539" s="325" t="str">
        <f>B572</f>
        <v>Kinh phí hỗ trợ thực hiện việc dạy và học Tiếng Việt cho trẻ em là người dân tộc thiểu số trước khi vào lớp 1 theo Nghị quyết số 12/2025/NQ-HĐND</v>
      </c>
      <c r="C539" s="319"/>
      <c r="D539" s="319"/>
      <c r="E539" s="428"/>
      <c r="F539" s="312"/>
      <c r="G539" s="444">
        <f t="shared" si="126"/>
        <v>90139000</v>
      </c>
      <c r="H539" s="312"/>
      <c r="I539" s="312"/>
      <c r="J539" s="312"/>
      <c r="K539" s="317">
        <f t="shared" ref="K539:K540" si="128">G539-H539-I539</f>
        <v>90139000</v>
      </c>
      <c r="L539" s="313"/>
    </row>
    <row r="540" spans="1:13" ht="51.75" customHeight="1" x14ac:dyDescent="0.25">
      <c r="A540" s="513" t="s">
        <v>287</v>
      </c>
      <c r="B540" s="325" t="s">
        <v>766</v>
      </c>
      <c r="C540" s="319"/>
      <c r="D540" s="319"/>
      <c r="E540" s="428"/>
      <c r="F540" s="312"/>
      <c r="G540" s="444">
        <f t="shared" si="126"/>
        <v>0</v>
      </c>
      <c r="H540" s="312"/>
      <c r="I540" s="312"/>
      <c r="J540" s="312"/>
      <c r="K540" s="317">
        <f t="shared" si="128"/>
        <v>0</v>
      </c>
      <c r="L540" s="313"/>
    </row>
    <row r="541" spans="1:13" s="489" customFormat="1" ht="18.75" hidden="1" customHeight="1" x14ac:dyDescent="0.25">
      <c r="A541" s="333"/>
      <c r="B541" s="481" t="s">
        <v>767</v>
      </c>
      <c r="C541" s="482"/>
      <c r="D541" s="483">
        <v>45</v>
      </c>
      <c r="E541" s="484"/>
      <c r="F541" s="337"/>
      <c r="G541" s="486">
        <f>G542+G557+G560+G561+G564+G555</f>
        <v>21027411275.549183</v>
      </c>
      <c r="H541" s="486">
        <f>H542+H557+H560+H561+H564+H555</f>
        <v>252821636.04435852</v>
      </c>
      <c r="I541" s="486">
        <f>I542+I557+I560+I561+I564+I555</f>
        <v>47320000</v>
      </c>
      <c r="J541" s="486">
        <f>J542+J557+J560+J561+J564+J555</f>
        <v>259680000</v>
      </c>
      <c r="K541" s="486">
        <f>K542+K557+K560+K561+K564+K555</f>
        <v>20467589639.504826</v>
      </c>
      <c r="L541" s="517"/>
      <c r="M541" s="489" t="s">
        <v>926</v>
      </c>
    </row>
    <row r="542" spans="1:13" hidden="1" x14ac:dyDescent="0.25">
      <c r="A542" s="241" t="s">
        <v>541</v>
      </c>
      <c r="B542" s="490" t="s">
        <v>636</v>
      </c>
      <c r="C542" s="294"/>
      <c r="D542" s="294">
        <f>44-1</f>
        <v>43</v>
      </c>
      <c r="E542" s="299">
        <f>SUM(E543:E554)</f>
        <v>392.95317681999995</v>
      </c>
      <c r="F542" s="369"/>
      <c r="G542" s="491">
        <f>SUM(G543:G554)</f>
        <v>11021278605.105598</v>
      </c>
      <c r="H542" s="491">
        <f>SUM(H543:H554)</f>
        <v>0</v>
      </c>
      <c r="I542" s="491">
        <f>SUM(I543:I554)</f>
        <v>0</v>
      </c>
      <c r="J542" s="491"/>
      <c r="K542" s="491">
        <f>SUM(K543:K554)</f>
        <v>11021278605.105598</v>
      </c>
      <c r="L542" s="313"/>
    </row>
    <row r="543" spans="1:13" hidden="1" x14ac:dyDescent="0.25">
      <c r="A543" s="307" t="s">
        <v>287</v>
      </c>
      <c r="B543" s="315" t="s">
        <v>543</v>
      </c>
      <c r="C543" s="365" t="s">
        <v>526</v>
      </c>
      <c r="D543" s="365">
        <f>44-1</f>
        <v>43</v>
      </c>
      <c r="E543" s="422">
        <f>148.92+0.2-4.32</f>
        <v>144.79999999999998</v>
      </c>
      <c r="F543" s="312">
        <v>2340000</v>
      </c>
      <c r="G543" s="317">
        <f>E543*F543*12</f>
        <v>4065983999.999999</v>
      </c>
      <c r="H543" s="317"/>
      <c r="I543" s="317"/>
      <c r="J543" s="317"/>
      <c r="K543" s="317">
        <f>G543-H543-I543</f>
        <v>4065983999.999999</v>
      </c>
      <c r="L543" s="313"/>
    </row>
    <row r="544" spans="1:13" hidden="1" x14ac:dyDescent="0.25">
      <c r="A544" s="307" t="s">
        <v>287</v>
      </c>
      <c r="B544" s="315" t="s">
        <v>544</v>
      </c>
      <c r="C544" s="365" t="s">
        <v>526</v>
      </c>
      <c r="D544" s="365">
        <v>9</v>
      </c>
      <c r="E544" s="366">
        <v>2.5</v>
      </c>
      <c r="F544" s="312">
        <v>2340000</v>
      </c>
      <c r="G544" s="317">
        <f t="shared" ref="G544:G551" si="129">E544*F544*12</f>
        <v>70200000</v>
      </c>
      <c r="H544" s="317"/>
      <c r="I544" s="317"/>
      <c r="J544" s="317"/>
      <c r="K544" s="317">
        <f t="shared" ref="K544:K554" si="130">G544-H544-I544</f>
        <v>70200000</v>
      </c>
      <c r="L544" s="313"/>
    </row>
    <row r="545" spans="1:13" hidden="1" x14ac:dyDescent="0.25">
      <c r="A545" s="307" t="s">
        <v>287</v>
      </c>
      <c r="B545" s="315" t="s">
        <v>545</v>
      </c>
      <c r="C545" s="365" t="s">
        <v>526</v>
      </c>
      <c r="D545" s="365">
        <v>3</v>
      </c>
      <c r="E545" s="424">
        <f>1.2992+0.0406</f>
        <v>1.3397999999999999</v>
      </c>
      <c r="F545" s="312">
        <v>2340000</v>
      </c>
      <c r="G545" s="317">
        <f t="shared" si="129"/>
        <v>37621583.999999993</v>
      </c>
      <c r="H545" s="317"/>
      <c r="I545" s="317"/>
      <c r="J545" s="317"/>
      <c r="K545" s="317">
        <f t="shared" si="130"/>
        <v>37621583.999999993</v>
      </c>
      <c r="L545" s="313"/>
    </row>
    <row r="546" spans="1:13" hidden="1" x14ac:dyDescent="0.25">
      <c r="A546" s="307" t="s">
        <v>287</v>
      </c>
      <c r="B546" s="315" t="s">
        <v>546</v>
      </c>
      <c r="C546" s="365" t="s">
        <v>526</v>
      </c>
      <c r="D546" s="365">
        <v>43</v>
      </c>
      <c r="E546" s="366">
        <f>D546*0.7</f>
        <v>30.099999999999998</v>
      </c>
      <c r="F546" s="312">
        <v>2340000</v>
      </c>
      <c r="G546" s="317">
        <f t="shared" si="129"/>
        <v>845208000</v>
      </c>
      <c r="H546" s="317"/>
      <c r="I546" s="317"/>
      <c r="J546" s="317"/>
      <c r="K546" s="317">
        <f t="shared" si="130"/>
        <v>845208000</v>
      </c>
      <c r="L546" s="313"/>
    </row>
    <row r="547" spans="1:13" hidden="1" x14ac:dyDescent="0.25">
      <c r="A547" s="307" t="s">
        <v>287</v>
      </c>
      <c r="B547" s="315" t="s">
        <v>547</v>
      </c>
      <c r="C547" s="365" t="s">
        <v>526</v>
      </c>
      <c r="D547" s="365">
        <f>43-1</f>
        <v>42</v>
      </c>
      <c r="E547" s="366">
        <f>12.7-0.3</f>
        <v>12.399999999999999</v>
      </c>
      <c r="F547" s="312">
        <v>2340000</v>
      </c>
      <c r="G547" s="317">
        <f t="shared" si="129"/>
        <v>348191999.99999994</v>
      </c>
      <c r="H547" s="317"/>
      <c r="I547" s="317"/>
      <c r="J547" s="317"/>
      <c r="K547" s="317">
        <f t="shared" si="130"/>
        <v>348191999.99999994</v>
      </c>
      <c r="L547" s="313"/>
    </row>
    <row r="548" spans="1:13" hidden="1" x14ac:dyDescent="0.25">
      <c r="A548" s="307" t="s">
        <v>287</v>
      </c>
      <c r="B548" s="315" t="s">
        <v>548</v>
      </c>
      <c r="C548" s="365" t="s">
        <v>526</v>
      </c>
      <c r="D548" s="365">
        <v>7</v>
      </c>
      <c r="E548" s="366">
        <f>13.279-1.638</f>
        <v>11.641</v>
      </c>
      <c r="F548" s="312">
        <v>2340000</v>
      </c>
      <c r="G548" s="317">
        <f t="shared" si="129"/>
        <v>326879280</v>
      </c>
      <c r="H548" s="317"/>
      <c r="I548" s="317"/>
      <c r="J548" s="317"/>
      <c r="K548" s="317">
        <f t="shared" si="130"/>
        <v>326879280</v>
      </c>
      <c r="L548" s="313"/>
    </row>
    <row r="549" spans="1:13" hidden="1" x14ac:dyDescent="0.25">
      <c r="A549" s="307" t="s">
        <v>287</v>
      </c>
      <c r="B549" s="315" t="s">
        <v>549</v>
      </c>
      <c r="C549" s="365" t="s">
        <v>526</v>
      </c>
      <c r="D549" s="365">
        <f>37-1</f>
        <v>36</v>
      </c>
      <c r="E549" s="366">
        <f>28.4+1.1-1</f>
        <v>28.5</v>
      </c>
      <c r="F549" s="312">
        <v>2340000</v>
      </c>
      <c r="G549" s="317">
        <f t="shared" si="129"/>
        <v>800280000</v>
      </c>
      <c r="H549" s="317"/>
      <c r="I549" s="317"/>
      <c r="J549" s="317"/>
      <c r="K549" s="317">
        <f t="shared" si="130"/>
        <v>800280000</v>
      </c>
      <c r="L549" s="313"/>
    </row>
    <row r="550" spans="1:13" hidden="1" x14ac:dyDescent="0.25">
      <c r="A550" s="307" t="s">
        <v>287</v>
      </c>
      <c r="B550" s="315" t="s">
        <v>675</v>
      </c>
      <c r="C550" s="365" t="s">
        <v>526</v>
      </c>
      <c r="D550" s="365">
        <f>36-1</f>
        <v>35</v>
      </c>
      <c r="E550" s="366">
        <f>22.657644+0.369704-0.9072</f>
        <v>22.120148</v>
      </c>
      <c r="F550" s="312">
        <v>2340000</v>
      </c>
      <c r="G550" s="317">
        <f t="shared" si="129"/>
        <v>621133755.84000003</v>
      </c>
      <c r="H550" s="317"/>
      <c r="I550" s="317"/>
      <c r="J550" s="317"/>
      <c r="K550" s="317">
        <f t="shared" si="130"/>
        <v>621133755.84000003</v>
      </c>
      <c r="L550" s="313"/>
    </row>
    <row r="551" spans="1:13" hidden="1" x14ac:dyDescent="0.25">
      <c r="A551" s="307" t="s">
        <v>287</v>
      </c>
      <c r="B551" s="315" t="s">
        <v>768</v>
      </c>
      <c r="C551" s="365" t="s">
        <v>526</v>
      </c>
      <c r="D551" s="365">
        <v>0</v>
      </c>
      <c r="E551" s="366">
        <v>0</v>
      </c>
      <c r="F551" s="312">
        <v>2340000</v>
      </c>
      <c r="G551" s="317">
        <f t="shared" si="129"/>
        <v>0</v>
      </c>
      <c r="H551" s="317"/>
      <c r="I551" s="317"/>
      <c r="J551" s="317"/>
      <c r="K551" s="317">
        <f t="shared" si="130"/>
        <v>0</v>
      </c>
      <c r="L551" s="313"/>
    </row>
    <row r="552" spans="1:13" hidden="1" x14ac:dyDescent="0.25">
      <c r="A552" s="307" t="s">
        <v>287</v>
      </c>
      <c r="B552" s="315" t="s">
        <v>769</v>
      </c>
      <c r="C552" s="365" t="s">
        <v>526</v>
      </c>
      <c r="D552" s="365">
        <v>1</v>
      </c>
      <c r="E552" s="366">
        <v>1.83</v>
      </c>
      <c r="F552" s="312">
        <v>2340000</v>
      </c>
      <c r="G552" s="317">
        <f>E552*F552*9</f>
        <v>38539800</v>
      </c>
      <c r="H552" s="317"/>
      <c r="I552" s="317"/>
      <c r="J552" s="317"/>
      <c r="K552" s="317">
        <f t="shared" si="130"/>
        <v>38539800</v>
      </c>
      <c r="L552" s="313"/>
    </row>
    <row r="553" spans="1:13" hidden="1" x14ac:dyDescent="0.25">
      <c r="A553" s="307" t="s">
        <v>287</v>
      </c>
      <c r="B553" s="315" t="s">
        <v>742</v>
      </c>
      <c r="C553" s="365" t="s">
        <v>526</v>
      </c>
      <c r="D553" s="365">
        <v>42</v>
      </c>
      <c r="E553" s="366">
        <f>103.86444+0.1684-3.024</f>
        <v>101.00884000000001</v>
      </c>
      <c r="F553" s="312">
        <v>2340000</v>
      </c>
      <c r="G553" s="317">
        <f t="shared" ref="G553:G554" si="131">E553*F553*12</f>
        <v>2836328227.2000003</v>
      </c>
      <c r="H553" s="317"/>
      <c r="I553" s="317"/>
      <c r="J553" s="317"/>
      <c r="K553" s="317">
        <f t="shared" si="130"/>
        <v>2836328227.2000003</v>
      </c>
      <c r="L553" s="313"/>
    </row>
    <row r="554" spans="1:13" hidden="1" x14ac:dyDescent="0.25">
      <c r="A554" s="307" t="s">
        <v>287</v>
      </c>
      <c r="B554" s="315" t="s">
        <v>676</v>
      </c>
      <c r="C554" s="365" t="s">
        <v>526</v>
      </c>
      <c r="D554" s="365">
        <v>43</v>
      </c>
      <c r="E554" s="366">
        <f>(E543+E544+E545+E550)*21.5%</f>
        <v>36.713388819999992</v>
      </c>
      <c r="F554" s="312">
        <v>2340000</v>
      </c>
      <c r="G554" s="317">
        <f t="shared" si="131"/>
        <v>1030911958.0655998</v>
      </c>
      <c r="H554" s="317"/>
      <c r="I554" s="317"/>
      <c r="J554" s="317"/>
      <c r="K554" s="317">
        <f t="shared" si="130"/>
        <v>1030911958.0655998</v>
      </c>
      <c r="L554" s="313"/>
    </row>
    <row r="555" spans="1:13" s="292" customFormat="1" ht="14.25" hidden="1" x14ac:dyDescent="0.25">
      <c r="A555" s="241" t="s">
        <v>74</v>
      </c>
      <c r="B555" s="384" t="s">
        <v>557</v>
      </c>
      <c r="C555" s="377"/>
      <c r="D555" s="377"/>
      <c r="E555" s="386"/>
      <c r="F555" s="369"/>
      <c r="G555" s="491">
        <f>G556</f>
        <v>180000000</v>
      </c>
      <c r="H555" s="491">
        <f t="shared" ref="H555:K555" si="132">H556</f>
        <v>0</v>
      </c>
      <c r="I555" s="491">
        <f t="shared" si="132"/>
        <v>0</v>
      </c>
      <c r="J555" s="491"/>
      <c r="K555" s="491">
        <f t="shared" si="132"/>
        <v>180000000</v>
      </c>
      <c r="L555" s="246"/>
    </row>
    <row r="556" spans="1:13" hidden="1" x14ac:dyDescent="0.25">
      <c r="A556" s="307" t="s">
        <v>287</v>
      </c>
      <c r="B556" s="315" t="s">
        <v>927</v>
      </c>
      <c r="C556" s="365" t="s">
        <v>526</v>
      </c>
      <c r="D556" s="365">
        <v>2</v>
      </c>
      <c r="E556" s="366"/>
      <c r="F556" s="312">
        <v>10000000</v>
      </c>
      <c r="G556" s="317">
        <f>F556*D556*9</f>
        <v>180000000</v>
      </c>
      <c r="H556" s="317"/>
      <c r="I556" s="317"/>
      <c r="J556" s="317"/>
      <c r="K556" s="317">
        <f>G556</f>
        <v>180000000</v>
      </c>
      <c r="L556" s="313"/>
    </row>
    <row r="557" spans="1:13" ht="18" hidden="1" customHeight="1" x14ac:dyDescent="0.25">
      <c r="A557" s="241" t="s">
        <v>74</v>
      </c>
      <c r="B557" s="384" t="s">
        <v>591</v>
      </c>
      <c r="C557" s="367"/>
      <c r="D557" s="367"/>
      <c r="E557" s="368"/>
      <c r="F557" s="518"/>
      <c r="G557" s="519">
        <f>G558+G559</f>
        <v>797013270.44358516</v>
      </c>
      <c r="H557" s="519">
        <f>H558+H559</f>
        <v>79701636.044358522</v>
      </c>
      <c r="I557" s="519">
        <f>I558+I559</f>
        <v>47320000</v>
      </c>
      <c r="J557" s="519">
        <f>J558+J559</f>
        <v>259680000</v>
      </c>
      <c r="K557" s="519">
        <f>K558+K559</f>
        <v>410311634.39922667</v>
      </c>
      <c r="L557" s="254"/>
    </row>
    <row r="558" spans="1:13" hidden="1" x14ac:dyDescent="0.25">
      <c r="A558" s="426" t="s">
        <v>287</v>
      </c>
      <c r="B558" s="315" t="s">
        <v>663</v>
      </c>
      <c r="C558" s="365" t="s">
        <v>526</v>
      </c>
      <c r="D558" s="319">
        <v>43</v>
      </c>
      <c r="E558" s="460">
        <f>E543+E544+E554+E545</f>
        <v>185.35318881999999</v>
      </c>
      <c r="F558" s="512" t="s">
        <v>760</v>
      </c>
      <c r="G558" s="317">
        <f>E558*1490000*12*19/81</f>
        <v>777385003.77691853</v>
      </c>
      <c r="H558" s="317">
        <f>G558*10%+309</f>
        <v>77738809.37769185</v>
      </c>
      <c r="I558" s="317">
        <f>35*710000+9*2340000+1410000</f>
        <v>47320000</v>
      </c>
      <c r="J558" s="317">
        <f>K568</f>
        <v>259680000</v>
      </c>
      <c r="K558" s="317">
        <f>G558-H558-I558-J558</f>
        <v>392646194.39922667</v>
      </c>
      <c r="L558" s="520"/>
      <c r="M558" s="242">
        <f>D558*0.2</f>
        <v>8.6</v>
      </c>
    </row>
    <row r="559" spans="1:13" hidden="1" x14ac:dyDescent="0.25">
      <c r="A559" s="426" t="s">
        <v>287</v>
      </c>
      <c r="B559" s="315" t="s">
        <v>557</v>
      </c>
      <c r="C559" s="365" t="s">
        <v>526</v>
      </c>
      <c r="D559" s="319">
        <v>2</v>
      </c>
      <c r="E559" s="460">
        <f>2.34*D559</f>
        <v>4.68</v>
      </c>
      <c r="F559" s="512" t="s">
        <v>760</v>
      </c>
      <c r="G559" s="317">
        <f>E559*1490000*12*19/81</f>
        <v>19628266.666666668</v>
      </c>
      <c r="H559" s="317">
        <f>G559*0.1</f>
        <v>1962826.666666667</v>
      </c>
      <c r="I559" s="317"/>
      <c r="J559" s="317"/>
      <c r="K559" s="317">
        <f>G559-H559-I559</f>
        <v>17665440</v>
      </c>
      <c r="L559" s="520"/>
    </row>
    <row r="560" spans="1:13" s="292" customFormat="1" ht="19.5" hidden="1" customHeight="1" x14ac:dyDescent="0.25">
      <c r="A560" s="241" t="s">
        <v>74</v>
      </c>
      <c r="B560" s="384" t="s">
        <v>744</v>
      </c>
      <c r="C560" s="377" t="s">
        <v>526</v>
      </c>
      <c r="D560" s="367">
        <v>43</v>
      </c>
      <c r="E560" s="521">
        <f>E543</f>
        <v>144.79999999999998</v>
      </c>
      <c r="F560" s="369">
        <f>2340000*10%</f>
        <v>234000</v>
      </c>
      <c r="G560" s="369">
        <f>F560*E560*12</f>
        <v>406598399.99999988</v>
      </c>
      <c r="H560" s="247"/>
      <c r="I560" s="247"/>
      <c r="J560" s="247"/>
      <c r="K560" s="247">
        <f>G560</f>
        <v>406598399.99999988</v>
      </c>
      <c r="L560" s="246"/>
    </row>
    <row r="561" spans="1:15" ht="18.75" hidden="1" customHeight="1" x14ac:dyDescent="0.25">
      <c r="A561" s="241" t="s">
        <v>74</v>
      </c>
      <c r="B561" s="384" t="s">
        <v>745</v>
      </c>
      <c r="C561" s="319"/>
      <c r="D561" s="319"/>
      <c r="E561" s="316"/>
      <c r="F561" s="312"/>
      <c r="G561" s="491">
        <f>G563+G562</f>
        <v>450000000</v>
      </c>
      <c r="H561" s="491">
        <f t="shared" ref="H561:K561" si="133">H563+H562</f>
        <v>0</v>
      </c>
      <c r="I561" s="491">
        <f t="shared" si="133"/>
        <v>0</v>
      </c>
      <c r="J561" s="491"/>
      <c r="K561" s="491">
        <f t="shared" si="133"/>
        <v>450000000</v>
      </c>
      <c r="L561" s="313"/>
    </row>
    <row r="562" spans="1:15" ht="22.5" hidden="1" customHeight="1" x14ac:dyDescent="0.25">
      <c r="A562" s="426" t="s">
        <v>287</v>
      </c>
      <c r="B562" s="529" t="s">
        <v>770</v>
      </c>
      <c r="C562" s="307" t="s">
        <v>762</v>
      </c>
      <c r="D562" s="319">
        <v>1</v>
      </c>
      <c r="E562" s="316"/>
      <c r="F562" s="312">
        <v>100000000</v>
      </c>
      <c r="G562" s="317">
        <f>F562*D562</f>
        <v>100000000</v>
      </c>
      <c r="H562" s="317"/>
      <c r="I562" s="317"/>
      <c r="J562" s="317"/>
      <c r="K562" s="317">
        <f>G562-H562-I562</f>
        <v>100000000</v>
      </c>
      <c r="L562" s="313"/>
    </row>
    <row r="563" spans="1:15" ht="30" hidden="1" x14ac:dyDescent="0.25">
      <c r="A563" s="426" t="s">
        <v>287</v>
      </c>
      <c r="B563" s="524" t="s">
        <v>746</v>
      </c>
      <c r="C563" s="525" t="s">
        <v>732</v>
      </c>
      <c r="D563" s="319">
        <v>7</v>
      </c>
      <c r="E563" s="316"/>
      <c r="F563" s="312">
        <v>50000000</v>
      </c>
      <c r="G563" s="317">
        <f>D563*F563</f>
        <v>350000000</v>
      </c>
      <c r="H563" s="317"/>
      <c r="I563" s="317"/>
      <c r="J563" s="317"/>
      <c r="K563" s="317">
        <f>G563-H563-I563</f>
        <v>350000000</v>
      </c>
      <c r="L563" s="313"/>
    </row>
    <row r="564" spans="1:15" s="292" customFormat="1" ht="20.25" hidden="1" customHeight="1" x14ac:dyDescent="0.25">
      <c r="A564" s="522" t="s">
        <v>74</v>
      </c>
      <c r="B564" s="340" t="s">
        <v>733</v>
      </c>
      <c r="C564" s="367"/>
      <c r="D564" s="367"/>
      <c r="E564" s="523"/>
      <c r="F564" s="369"/>
      <c r="G564" s="518">
        <f>SUM(G565:G573)-G566</f>
        <v>8172521000</v>
      </c>
      <c r="H564" s="518">
        <f t="shared" ref="H564:K564" si="134">SUM(H565:H573)-H566</f>
        <v>173120000</v>
      </c>
      <c r="I564" s="518">
        <f t="shared" si="134"/>
        <v>0</v>
      </c>
      <c r="J564" s="518"/>
      <c r="K564" s="518">
        <f t="shared" si="134"/>
        <v>7999401000</v>
      </c>
      <c r="L564" s="246"/>
    </row>
    <row r="565" spans="1:15" ht="32.25" hidden="1" customHeight="1" x14ac:dyDescent="0.25">
      <c r="A565" s="513" t="s">
        <v>287</v>
      </c>
      <c r="B565" s="325" t="s">
        <v>763</v>
      </c>
      <c r="C565" s="319"/>
      <c r="D565" s="319"/>
      <c r="E565" s="428"/>
      <c r="F565" s="312"/>
      <c r="G565" s="444">
        <f>713920000-256000</f>
        <v>713664000</v>
      </c>
      <c r="H565" s="312"/>
      <c r="I565" s="312"/>
      <c r="J565" s="312"/>
      <c r="K565" s="317">
        <f t="shared" ref="K565" si="135">G565-H565-I565</f>
        <v>713664000</v>
      </c>
      <c r="L565" s="313"/>
    </row>
    <row r="566" spans="1:15" ht="20.25" hidden="1" customHeight="1" x14ac:dyDescent="0.25">
      <c r="A566" s="513" t="s">
        <v>287</v>
      </c>
      <c r="B566" s="325" t="s">
        <v>613</v>
      </c>
      <c r="C566" s="319"/>
      <c r="D566" s="319"/>
      <c r="E566" s="428"/>
      <c r="F566" s="312"/>
      <c r="G566" s="444">
        <f>G567+G568</f>
        <v>1215800000</v>
      </c>
      <c r="H566" s="444">
        <f>H567+H568</f>
        <v>173120000</v>
      </c>
      <c r="I566" s="312"/>
      <c r="J566" s="312"/>
      <c r="K566" s="444">
        <f>K567+K568</f>
        <v>1042680000</v>
      </c>
      <c r="L566" s="313"/>
    </row>
    <row r="567" spans="1:15" s="259" customFormat="1" ht="20.25" hidden="1" customHeight="1" x14ac:dyDescent="0.25">
      <c r="A567" s="515"/>
      <c r="B567" s="326" t="s">
        <v>737</v>
      </c>
      <c r="C567" s="477"/>
      <c r="D567" s="477"/>
      <c r="E567" s="430"/>
      <c r="F567" s="330"/>
      <c r="G567" s="516">
        <v>783000000</v>
      </c>
      <c r="H567" s="330"/>
      <c r="I567" s="330"/>
      <c r="J567" s="330"/>
      <c r="K567" s="516">
        <f>G567-H567-I567</f>
        <v>783000000</v>
      </c>
      <c r="L567" s="331"/>
    </row>
    <row r="568" spans="1:15" s="259" customFormat="1" ht="20.25" hidden="1" customHeight="1" x14ac:dyDescent="0.25">
      <c r="A568" s="515"/>
      <c r="B568" s="326" t="s">
        <v>738</v>
      </c>
      <c r="C568" s="477"/>
      <c r="D568" s="477"/>
      <c r="E568" s="430"/>
      <c r="F568" s="330"/>
      <c r="G568" s="516">
        <v>432800000</v>
      </c>
      <c r="H568" s="330">
        <f>G568*0.4</f>
        <v>173120000</v>
      </c>
      <c r="I568" s="330"/>
      <c r="J568" s="330"/>
      <c r="K568" s="516">
        <f>G568-H568-I568</f>
        <v>259680000</v>
      </c>
      <c r="L568" s="331"/>
    </row>
    <row r="569" spans="1:15" ht="36" hidden="1" customHeight="1" x14ac:dyDescent="0.25">
      <c r="A569" s="513" t="s">
        <v>287</v>
      </c>
      <c r="B569" s="325" t="s">
        <v>764</v>
      </c>
      <c r="C569" s="319"/>
      <c r="D569" s="319"/>
      <c r="E569" s="428"/>
      <c r="F569" s="312"/>
      <c r="G569" s="444">
        <v>340000000</v>
      </c>
      <c r="H569" s="312"/>
      <c r="I569" s="312"/>
      <c r="J569" s="312"/>
      <c r="K569" s="317">
        <f>G569-H569-I569</f>
        <v>340000000</v>
      </c>
      <c r="L569" s="313"/>
    </row>
    <row r="570" spans="1:15" ht="36" hidden="1" customHeight="1" x14ac:dyDescent="0.25">
      <c r="A570" s="513" t="s">
        <v>287</v>
      </c>
      <c r="B570" s="325" t="s">
        <v>740</v>
      </c>
      <c r="C570" s="319"/>
      <c r="D570" s="319"/>
      <c r="E570" s="428"/>
      <c r="F570" s="312"/>
      <c r="G570" s="444">
        <f>5737144000-226000</f>
        <v>5736918000</v>
      </c>
      <c r="H570" s="312"/>
      <c r="I570" s="312"/>
      <c r="J570" s="312"/>
      <c r="K570" s="317">
        <f>G570-H570-I570</f>
        <v>5736918000</v>
      </c>
      <c r="L570" s="313"/>
    </row>
    <row r="571" spans="1:15" ht="36" hidden="1" customHeight="1" x14ac:dyDescent="0.25">
      <c r="A571" s="513" t="s">
        <v>287</v>
      </c>
      <c r="B571" s="325" t="s">
        <v>765</v>
      </c>
      <c r="C571" s="319"/>
      <c r="D571" s="319"/>
      <c r="E571" s="428"/>
      <c r="F571" s="312"/>
      <c r="G571" s="444">
        <v>76000000</v>
      </c>
      <c r="H571" s="312"/>
      <c r="I571" s="312"/>
      <c r="J571" s="312"/>
      <c r="K571" s="317">
        <f>G571-H571-I571</f>
        <v>76000000</v>
      </c>
      <c r="L571" s="313"/>
    </row>
    <row r="572" spans="1:15" ht="48.75" hidden="1" customHeight="1" x14ac:dyDescent="0.25">
      <c r="A572" s="513" t="s">
        <v>287</v>
      </c>
      <c r="B572" s="325" t="s">
        <v>771</v>
      </c>
      <c r="C572" s="319"/>
      <c r="D572" s="319"/>
      <c r="E572" s="428"/>
      <c r="F572" s="312"/>
      <c r="G572" s="444">
        <f>38500000+51639000</f>
        <v>90139000</v>
      </c>
      <c r="H572" s="312"/>
      <c r="I572" s="312"/>
      <c r="J572" s="312"/>
      <c r="K572" s="317">
        <f t="shared" ref="K572" si="136">G572-H572-I572</f>
        <v>90139000</v>
      </c>
      <c r="L572" s="313"/>
      <c r="M572" s="528"/>
    </row>
    <row r="573" spans="1:15" ht="48.75" hidden="1" customHeight="1" x14ac:dyDescent="0.25">
      <c r="A573" s="513" t="s">
        <v>287</v>
      </c>
      <c r="B573" s="325" t="s">
        <v>766</v>
      </c>
      <c r="C573" s="319"/>
      <c r="D573" s="319"/>
      <c r="E573" s="428"/>
      <c r="F573" s="312"/>
      <c r="G573" s="444"/>
      <c r="H573" s="312"/>
      <c r="I573" s="312"/>
      <c r="J573" s="312"/>
      <c r="K573" s="317"/>
      <c r="L573" s="313"/>
      <c r="M573" s="528"/>
    </row>
    <row r="574" spans="1:15" s="676" customFormat="1" ht="21.75" customHeight="1" x14ac:dyDescent="0.25">
      <c r="A574" s="670" t="s">
        <v>772</v>
      </c>
      <c r="B574" s="671" t="s">
        <v>773</v>
      </c>
      <c r="C574" s="672" t="s">
        <v>526</v>
      </c>
      <c r="D574" s="672">
        <v>44</v>
      </c>
      <c r="E574" s="673"/>
      <c r="F574" s="674"/>
      <c r="G574" s="674">
        <f>SUM(G575:G581)</f>
        <v>17468966900.518517</v>
      </c>
      <c r="H574" s="674">
        <f t="shared" ref="H574:K574" si="137">SUM(H575:H581)</f>
        <v>234271000</v>
      </c>
      <c r="I574" s="674">
        <f t="shared" si="137"/>
        <v>42850000</v>
      </c>
      <c r="J574" s="674">
        <f t="shared" si="137"/>
        <v>231888000</v>
      </c>
      <c r="K574" s="674">
        <f t="shared" si="137"/>
        <v>16959958000</v>
      </c>
      <c r="L574" s="675"/>
      <c r="N574" s="677">
        <f>N575+N576</f>
        <v>16959958000</v>
      </c>
      <c r="O574" s="677">
        <f>K574-N574</f>
        <v>0</v>
      </c>
    </row>
    <row r="575" spans="1:15" ht="23.25" customHeight="1" x14ac:dyDescent="0.25">
      <c r="A575" s="307" t="s">
        <v>576</v>
      </c>
      <c r="B575" s="412" t="s">
        <v>527</v>
      </c>
      <c r="C575" s="319" t="s">
        <v>526</v>
      </c>
      <c r="D575" s="320">
        <f>D592</f>
        <v>40</v>
      </c>
      <c r="E575" s="419">
        <f>E592</f>
        <v>381.17142999999993</v>
      </c>
      <c r="F575" s="312"/>
      <c r="G575" s="444">
        <f>G592</f>
        <v>10657593554.4</v>
      </c>
      <c r="H575" s="312"/>
      <c r="I575" s="312"/>
      <c r="J575" s="312"/>
      <c r="K575" s="317">
        <f>ROUND(G575-H575-I575-J575,-3)</f>
        <v>10657594000</v>
      </c>
      <c r="L575" s="313"/>
      <c r="M575" s="242" t="s">
        <v>893</v>
      </c>
      <c r="N575" s="293">
        <f>K575+K576+K577+K578+K579</f>
        <v>11964237000</v>
      </c>
    </row>
    <row r="576" spans="1:15" ht="23.25" customHeight="1" x14ac:dyDescent="0.25">
      <c r="A576" s="307" t="s">
        <v>583</v>
      </c>
      <c r="B576" s="412" t="s">
        <v>729</v>
      </c>
      <c r="C576" s="365" t="s">
        <v>526</v>
      </c>
      <c r="D576" s="320">
        <f>D608</f>
        <v>40</v>
      </c>
      <c r="E576" s="460">
        <f>E608</f>
        <v>180.61872999999997</v>
      </c>
      <c r="F576" s="512" t="s">
        <v>760</v>
      </c>
      <c r="G576" s="317">
        <f>E576*1490000*12*19/81</f>
        <v>757528332.78518498</v>
      </c>
      <c r="H576" s="317">
        <f>ROUND(G576*10%,-3)</f>
        <v>75753000</v>
      </c>
      <c r="I576" s="317">
        <f>32*710000+8*2340000+1410000</f>
        <v>42850000</v>
      </c>
      <c r="J576" s="317">
        <f>K585</f>
        <v>231888000</v>
      </c>
      <c r="K576" s="317">
        <f>ROUND(G576-H576-I576-J576,-3)</f>
        <v>407037000</v>
      </c>
      <c r="L576" s="476"/>
      <c r="M576" s="242" t="s">
        <v>894</v>
      </c>
      <c r="N576" s="293">
        <f>K580+K581</f>
        <v>4995721000</v>
      </c>
    </row>
    <row r="577" spans="1:13" ht="23.25" customHeight="1" x14ac:dyDescent="0.25">
      <c r="A577" s="426" t="s">
        <v>585</v>
      </c>
      <c r="B577" s="529" t="s">
        <v>761</v>
      </c>
      <c r="C577" s="307" t="s">
        <v>762</v>
      </c>
      <c r="D577" s="319">
        <v>1</v>
      </c>
      <c r="E577" s="316"/>
      <c r="F577" s="312">
        <v>100000000</v>
      </c>
      <c r="G577" s="317">
        <f>F577*D577</f>
        <v>100000000</v>
      </c>
      <c r="H577" s="317"/>
      <c r="I577" s="317"/>
      <c r="J577" s="317"/>
      <c r="K577" s="317">
        <f>G577-H577-I577</f>
        <v>100000000</v>
      </c>
      <c r="L577" s="313"/>
    </row>
    <row r="578" spans="1:13" ht="35.25" customHeight="1" x14ac:dyDescent="0.25">
      <c r="A578" s="307" t="s">
        <v>587</v>
      </c>
      <c r="B578" s="412" t="s">
        <v>731</v>
      </c>
      <c r="C578" s="418" t="s">
        <v>732</v>
      </c>
      <c r="D578" s="319">
        <f>D613</f>
        <v>8</v>
      </c>
      <c r="E578" s="460"/>
      <c r="F578" s="512">
        <v>50000000</v>
      </c>
      <c r="G578" s="317">
        <f>F578*D578</f>
        <v>400000000</v>
      </c>
      <c r="H578" s="317"/>
      <c r="I578" s="317"/>
      <c r="J578" s="317"/>
      <c r="K578" s="317">
        <f>G578-H578-I578</f>
        <v>400000000</v>
      </c>
      <c r="L578" s="313"/>
    </row>
    <row r="579" spans="1:13" ht="34.5" customHeight="1" x14ac:dyDescent="0.25">
      <c r="A579" s="513" t="s">
        <v>595</v>
      </c>
      <c r="B579" s="325" t="s">
        <v>573</v>
      </c>
      <c r="C579" s="319" t="s">
        <v>526</v>
      </c>
      <c r="D579" s="320">
        <f>D610</f>
        <v>40</v>
      </c>
      <c r="E579" s="514">
        <f>E610</f>
        <v>142.31</v>
      </c>
      <c r="F579" s="312">
        <v>234000</v>
      </c>
      <c r="G579" s="312">
        <f>F579*E579*12</f>
        <v>399606480</v>
      </c>
      <c r="H579" s="312"/>
      <c r="I579" s="312"/>
      <c r="J579" s="312"/>
      <c r="K579" s="444">
        <f>G579-480</f>
        <v>399606000</v>
      </c>
      <c r="L579" s="476"/>
    </row>
    <row r="580" spans="1:13" ht="34.5" customHeight="1" x14ac:dyDescent="0.25">
      <c r="A580" s="513" t="s">
        <v>611</v>
      </c>
      <c r="B580" s="325" t="s">
        <v>749</v>
      </c>
      <c r="C580" s="319" t="s">
        <v>526</v>
      </c>
      <c r="D580" s="324">
        <f>D606</f>
        <v>4</v>
      </c>
      <c r="E580" s="514"/>
      <c r="F580" s="312"/>
      <c r="G580" s="312">
        <f>G605+G609</f>
        <v>399256533.33333331</v>
      </c>
      <c r="H580" s="312">
        <f>ROUND(H605+H609,-3)</f>
        <v>3926000</v>
      </c>
      <c r="I580" s="312">
        <f t="shared" ref="I580" si="138">I605+I609</f>
        <v>0</v>
      </c>
      <c r="J580" s="312"/>
      <c r="K580" s="317">
        <f>ROUND(G580-H580-I580-J580,-3)</f>
        <v>395331000</v>
      </c>
      <c r="L580" s="313"/>
      <c r="M580" s="242" t="s">
        <v>750</v>
      </c>
    </row>
    <row r="581" spans="1:13" ht="21" customHeight="1" x14ac:dyDescent="0.25">
      <c r="A581" s="307" t="s">
        <v>616</v>
      </c>
      <c r="B581" s="325" t="s">
        <v>733</v>
      </c>
      <c r="C581" s="309"/>
      <c r="D581" s="309"/>
      <c r="E581" s="419"/>
      <c r="F581" s="312"/>
      <c r="G581" s="323">
        <f>SUM(G582:G590)-G583</f>
        <v>4754982000</v>
      </c>
      <c r="H581" s="323">
        <f t="shared" ref="H581" si="139">SUM(H582:H590)-H583</f>
        <v>154592000</v>
      </c>
      <c r="I581" s="323">
        <f t="shared" ref="I581" si="140">SUM(I582:I590)-I583</f>
        <v>0</v>
      </c>
      <c r="J581" s="323"/>
      <c r="K581" s="323">
        <f t="shared" ref="K581" si="141">SUM(K582:K590)-K583</f>
        <v>4600390000</v>
      </c>
      <c r="L581" s="313"/>
    </row>
    <row r="582" spans="1:13" ht="35.25" customHeight="1" x14ac:dyDescent="0.25">
      <c r="A582" s="307" t="s">
        <v>287</v>
      </c>
      <c r="B582" s="325" t="s">
        <v>763</v>
      </c>
      <c r="C582" s="309"/>
      <c r="D582" s="309"/>
      <c r="E582" s="419"/>
      <c r="F582" s="312"/>
      <c r="G582" s="444">
        <f>G615</f>
        <v>428352000</v>
      </c>
      <c r="H582" s="312"/>
      <c r="I582" s="312"/>
      <c r="J582" s="312"/>
      <c r="K582" s="323">
        <f>G582</f>
        <v>428352000</v>
      </c>
      <c r="L582" s="476"/>
    </row>
    <row r="583" spans="1:13" ht="21" customHeight="1" x14ac:dyDescent="0.25">
      <c r="A583" s="307" t="s">
        <v>287</v>
      </c>
      <c r="B583" s="325" t="s">
        <v>613</v>
      </c>
      <c r="C583" s="309"/>
      <c r="D583" s="309"/>
      <c r="E583" s="419"/>
      <c r="F583" s="312"/>
      <c r="G583" s="444">
        <f>G584+G585</f>
        <v>1088480000</v>
      </c>
      <c r="H583" s="444">
        <f t="shared" ref="H583:K583" si="142">H584+H585</f>
        <v>154592000</v>
      </c>
      <c r="I583" s="444">
        <f t="shared" si="142"/>
        <v>0</v>
      </c>
      <c r="J583" s="444"/>
      <c r="K583" s="444">
        <f t="shared" si="142"/>
        <v>933888000</v>
      </c>
      <c r="L583" s="313"/>
    </row>
    <row r="584" spans="1:13" ht="21" customHeight="1" x14ac:dyDescent="0.25">
      <c r="A584" s="307" t="s">
        <v>74</v>
      </c>
      <c r="B584" s="326" t="s">
        <v>737</v>
      </c>
      <c r="C584" s="309"/>
      <c r="D584" s="309"/>
      <c r="E584" s="419"/>
      <c r="F584" s="312"/>
      <c r="G584" s="516">
        <f>G617</f>
        <v>702000000</v>
      </c>
      <c r="H584" s="330"/>
      <c r="I584" s="330"/>
      <c r="J584" s="330"/>
      <c r="K584" s="329">
        <f>G584-H584-I584</f>
        <v>702000000</v>
      </c>
      <c r="L584" s="313"/>
    </row>
    <row r="585" spans="1:13" ht="21" customHeight="1" x14ac:dyDescent="0.25">
      <c r="A585" s="307" t="s">
        <v>74</v>
      </c>
      <c r="B585" s="326" t="s">
        <v>738</v>
      </c>
      <c r="C585" s="309"/>
      <c r="D585" s="309"/>
      <c r="E585" s="419"/>
      <c r="F585" s="312"/>
      <c r="G585" s="516">
        <f>G618</f>
        <v>386480000</v>
      </c>
      <c r="H585" s="516">
        <f>G585*40%</f>
        <v>154592000</v>
      </c>
      <c r="I585" s="330"/>
      <c r="J585" s="330"/>
      <c r="K585" s="329">
        <f>G585-H585-I585</f>
        <v>231888000</v>
      </c>
      <c r="L585" s="313"/>
    </row>
    <row r="586" spans="1:13" ht="35.25" customHeight="1" x14ac:dyDescent="0.25">
      <c r="A586" s="307" t="s">
        <v>287</v>
      </c>
      <c r="B586" s="325" t="s">
        <v>764</v>
      </c>
      <c r="C586" s="309"/>
      <c r="D586" s="309"/>
      <c r="E586" s="419"/>
      <c r="F586" s="312"/>
      <c r="G586" s="444">
        <f>G619</f>
        <v>200000000</v>
      </c>
      <c r="H586" s="312"/>
      <c r="I586" s="312"/>
      <c r="J586" s="312"/>
      <c r="K586" s="323">
        <f>G586</f>
        <v>200000000</v>
      </c>
      <c r="L586" s="313"/>
    </row>
    <row r="587" spans="1:13" ht="35.25" customHeight="1" x14ac:dyDescent="0.25">
      <c r="A587" s="307" t="s">
        <v>287</v>
      </c>
      <c r="B587" s="325" t="s">
        <v>740</v>
      </c>
      <c r="C587" s="309"/>
      <c r="D587" s="309"/>
      <c r="E587" s="419"/>
      <c r="F587" s="312"/>
      <c r="G587" s="444">
        <f t="shared" ref="G587:G590" si="143">G620</f>
        <v>2886785000</v>
      </c>
      <c r="H587" s="312"/>
      <c r="I587" s="312"/>
      <c r="J587" s="312"/>
      <c r="K587" s="323">
        <f t="shared" ref="K587:K588" si="144">G587</f>
        <v>2886785000</v>
      </c>
      <c r="L587" s="313"/>
    </row>
    <row r="588" spans="1:13" ht="35.25" customHeight="1" x14ac:dyDescent="0.25">
      <c r="A588" s="513" t="s">
        <v>287</v>
      </c>
      <c r="B588" s="325" t="s">
        <v>765</v>
      </c>
      <c r="C588" s="319"/>
      <c r="D588" s="319"/>
      <c r="E588" s="428"/>
      <c r="F588" s="312"/>
      <c r="G588" s="444">
        <f t="shared" si="143"/>
        <v>76000000</v>
      </c>
      <c r="H588" s="312"/>
      <c r="I588" s="312"/>
      <c r="J588" s="312"/>
      <c r="K588" s="323">
        <f t="shared" si="144"/>
        <v>76000000</v>
      </c>
      <c r="L588" s="313"/>
    </row>
    <row r="589" spans="1:13" ht="51.75" customHeight="1" x14ac:dyDescent="0.25">
      <c r="A589" s="513" t="s">
        <v>287</v>
      </c>
      <c r="B589" s="325" t="s">
        <v>771</v>
      </c>
      <c r="C589" s="319"/>
      <c r="D589" s="319"/>
      <c r="E589" s="428"/>
      <c r="F589" s="312"/>
      <c r="G589" s="444">
        <f t="shared" si="143"/>
        <v>75365000</v>
      </c>
      <c r="H589" s="312"/>
      <c r="I589" s="312"/>
      <c r="J589" s="312"/>
      <c r="K589" s="317">
        <f t="shared" ref="K589:K590" si="145">G589-H589-I589</f>
        <v>75365000</v>
      </c>
      <c r="L589" s="313"/>
    </row>
    <row r="590" spans="1:13" ht="51.75" customHeight="1" x14ac:dyDescent="0.25">
      <c r="A590" s="513" t="s">
        <v>287</v>
      </c>
      <c r="B590" s="325" t="s">
        <v>766</v>
      </c>
      <c r="C590" s="319"/>
      <c r="D590" s="319"/>
      <c r="E590" s="428"/>
      <c r="F590" s="312"/>
      <c r="G590" s="444">
        <f t="shared" si="143"/>
        <v>0</v>
      </c>
      <c r="H590" s="312"/>
      <c r="I590" s="312"/>
      <c r="J590" s="312"/>
      <c r="K590" s="317">
        <f t="shared" si="145"/>
        <v>0</v>
      </c>
      <c r="L590" s="313"/>
    </row>
    <row r="591" spans="1:13" s="489" customFormat="1" ht="18.75" hidden="1" customHeight="1" x14ac:dyDescent="0.25">
      <c r="A591" s="333"/>
      <c r="B591" s="481" t="s">
        <v>774</v>
      </c>
      <c r="C591" s="482"/>
      <c r="D591" s="483">
        <v>44</v>
      </c>
      <c r="E591" s="484"/>
      <c r="F591" s="337"/>
      <c r="G591" s="486">
        <f>G592+G607+G610+G611+G614+G605</f>
        <v>17468966900.518517</v>
      </c>
      <c r="H591" s="486">
        <f t="shared" ref="H591:K591" si="146">H592+H607+H610+H611+H614+H605</f>
        <v>234270653.33335182</v>
      </c>
      <c r="I591" s="486">
        <f t="shared" si="146"/>
        <v>42850000</v>
      </c>
      <c r="J591" s="486">
        <f t="shared" si="146"/>
        <v>231888000</v>
      </c>
      <c r="K591" s="486">
        <f t="shared" si="146"/>
        <v>16959958247.185165</v>
      </c>
      <c r="L591" s="517"/>
    </row>
    <row r="592" spans="1:13" hidden="1" x14ac:dyDescent="0.25">
      <c r="A592" s="241" t="s">
        <v>541</v>
      </c>
      <c r="B592" s="490" t="s">
        <v>636</v>
      </c>
      <c r="C592" s="294"/>
      <c r="D592" s="294">
        <v>40</v>
      </c>
      <c r="E592" s="299">
        <f>SUM(E593:E604)</f>
        <v>381.17142999999993</v>
      </c>
      <c r="F592" s="369"/>
      <c r="G592" s="491">
        <f>SUM(G593:G604)</f>
        <v>10657593554.4</v>
      </c>
      <c r="H592" s="491">
        <f>SUM(H593:H604)</f>
        <v>0</v>
      </c>
      <c r="I592" s="491">
        <f>SUM(I593:I604)</f>
        <v>0</v>
      </c>
      <c r="J592" s="491"/>
      <c r="K592" s="491">
        <f>SUM(K593:K604)</f>
        <v>10657593554.4</v>
      </c>
      <c r="L592" s="313"/>
    </row>
    <row r="593" spans="1:13" hidden="1" x14ac:dyDescent="0.25">
      <c r="A593" s="307" t="s">
        <v>287</v>
      </c>
      <c r="B593" s="315" t="s">
        <v>543</v>
      </c>
      <c r="C593" s="365" t="s">
        <v>526</v>
      </c>
      <c r="D593" s="365">
        <v>40</v>
      </c>
      <c r="E593" s="422">
        <f>144.43+1.94-4.06</f>
        <v>142.31</v>
      </c>
      <c r="F593" s="312">
        <v>2340000</v>
      </c>
      <c r="G593" s="317">
        <f>E593*F593*12</f>
        <v>3996064800</v>
      </c>
      <c r="H593" s="317"/>
      <c r="I593" s="317"/>
      <c r="J593" s="317"/>
      <c r="K593" s="317">
        <f>G593-H593-I593</f>
        <v>3996064800</v>
      </c>
      <c r="L593" s="313"/>
    </row>
    <row r="594" spans="1:13" hidden="1" x14ac:dyDescent="0.25">
      <c r="A594" s="307" t="s">
        <v>287</v>
      </c>
      <c r="B594" s="315" t="s">
        <v>544</v>
      </c>
      <c r="C594" s="365" t="s">
        <v>526</v>
      </c>
      <c r="D594" s="365">
        <v>11</v>
      </c>
      <c r="E594" s="366">
        <v>2.7</v>
      </c>
      <c r="F594" s="312">
        <v>2340000</v>
      </c>
      <c r="G594" s="317">
        <f t="shared" ref="G594:G601" si="147">E594*F594*12</f>
        <v>75816000</v>
      </c>
      <c r="H594" s="317"/>
      <c r="I594" s="317"/>
      <c r="J594" s="317"/>
      <c r="K594" s="317">
        <f t="shared" ref="K594:K604" si="148">G594-H594-I594</f>
        <v>75816000</v>
      </c>
      <c r="L594" s="313"/>
    </row>
    <row r="595" spans="1:13" hidden="1" x14ac:dyDescent="0.25">
      <c r="A595" s="307" t="s">
        <v>287</v>
      </c>
      <c r="B595" s="315" t="s">
        <v>545</v>
      </c>
      <c r="C595" s="365" t="s">
        <v>526</v>
      </c>
      <c r="D595" s="365">
        <v>0</v>
      </c>
      <c r="E595" s="424">
        <f>0.609-0.609</f>
        <v>0</v>
      </c>
      <c r="F595" s="312">
        <v>2340000</v>
      </c>
      <c r="G595" s="317">
        <f t="shared" si="147"/>
        <v>0</v>
      </c>
      <c r="H595" s="317"/>
      <c r="I595" s="317"/>
      <c r="J595" s="317"/>
      <c r="K595" s="317">
        <f t="shared" si="148"/>
        <v>0</v>
      </c>
      <c r="L595" s="313"/>
    </row>
    <row r="596" spans="1:13" hidden="1" x14ac:dyDescent="0.25">
      <c r="A596" s="307" t="s">
        <v>287</v>
      </c>
      <c r="B596" s="315" t="s">
        <v>546</v>
      </c>
      <c r="C596" s="365" t="s">
        <v>526</v>
      </c>
      <c r="D596" s="365">
        <v>40</v>
      </c>
      <c r="E596" s="366">
        <f>D596*0.7</f>
        <v>28</v>
      </c>
      <c r="F596" s="312">
        <v>2340000</v>
      </c>
      <c r="G596" s="317">
        <f t="shared" si="147"/>
        <v>786240000</v>
      </c>
      <c r="H596" s="317"/>
      <c r="I596" s="317"/>
      <c r="J596" s="317"/>
      <c r="K596" s="317">
        <f t="shared" si="148"/>
        <v>786240000</v>
      </c>
      <c r="L596" s="313"/>
    </row>
    <row r="597" spans="1:13" hidden="1" x14ac:dyDescent="0.25">
      <c r="A597" s="307" t="s">
        <v>287</v>
      </c>
      <c r="B597" s="315" t="s">
        <v>547</v>
      </c>
      <c r="C597" s="365" t="s">
        <v>526</v>
      </c>
      <c r="D597" s="365">
        <v>38</v>
      </c>
      <c r="E597" s="366">
        <f>11.2+0.3-0.3</f>
        <v>11.2</v>
      </c>
      <c r="F597" s="312">
        <v>2340000</v>
      </c>
      <c r="G597" s="317">
        <f t="shared" si="147"/>
        <v>314496000</v>
      </c>
      <c r="H597" s="317"/>
      <c r="I597" s="317"/>
      <c r="J597" s="317"/>
      <c r="K597" s="317">
        <f t="shared" si="148"/>
        <v>314496000</v>
      </c>
      <c r="L597" s="313"/>
    </row>
    <row r="598" spans="1:13" hidden="1" x14ac:dyDescent="0.25">
      <c r="A598" s="307" t="s">
        <v>287</v>
      </c>
      <c r="B598" s="315" t="s">
        <v>548</v>
      </c>
      <c r="C598" s="365" t="s">
        <v>526</v>
      </c>
      <c r="D598" s="365">
        <v>7</v>
      </c>
      <c r="E598" s="366">
        <f>11.207+0.217</f>
        <v>11.424000000000001</v>
      </c>
      <c r="F598" s="312">
        <v>2340000</v>
      </c>
      <c r="G598" s="317">
        <f t="shared" si="147"/>
        <v>320785920.00000006</v>
      </c>
      <c r="H598" s="317"/>
      <c r="I598" s="317"/>
      <c r="J598" s="317"/>
      <c r="K598" s="317">
        <f t="shared" si="148"/>
        <v>320785920.00000006</v>
      </c>
      <c r="L598" s="313"/>
    </row>
    <row r="599" spans="1:13" hidden="1" x14ac:dyDescent="0.25">
      <c r="A599" s="307" t="s">
        <v>287</v>
      </c>
      <c r="B599" s="315" t="s">
        <v>549</v>
      </c>
      <c r="C599" s="365" t="s">
        <v>526</v>
      </c>
      <c r="D599" s="365">
        <v>33</v>
      </c>
      <c r="E599" s="366">
        <f>26+0.6-1</f>
        <v>25.6</v>
      </c>
      <c r="F599" s="312">
        <v>2340000</v>
      </c>
      <c r="G599" s="317">
        <f t="shared" si="147"/>
        <v>718848000</v>
      </c>
      <c r="H599" s="317"/>
      <c r="I599" s="317"/>
      <c r="J599" s="317"/>
      <c r="K599" s="317">
        <f t="shared" si="148"/>
        <v>718848000</v>
      </c>
      <c r="L599" s="313"/>
    </row>
    <row r="600" spans="1:13" hidden="1" x14ac:dyDescent="0.25">
      <c r="A600" s="307" t="s">
        <v>287</v>
      </c>
      <c r="B600" s="315" t="s">
        <v>675</v>
      </c>
      <c r="C600" s="365" t="s">
        <v>526</v>
      </c>
      <c r="D600" s="365">
        <v>35</v>
      </c>
      <c r="E600" s="366">
        <f>21.357+0.796-1.541</f>
        <v>20.611999999999998</v>
      </c>
      <c r="F600" s="312">
        <v>2340000</v>
      </c>
      <c r="G600" s="317">
        <f t="shared" si="147"/>
        <v>578784959.99999988</v>
      </c>
      <c r="H600" s="317"/>
      <c r="I600" s="317"/>
      <c r="J600" s="317"/>
      <c r="K600" s="317">
        <f t="shared" si="148"/>
        <v>578784959.99999988</v>
      </c>
      <c r="L600" s="313"/>
    </row>
    <row r="601" spans="1:13" hidden="1" x14ac:dyDescent="0.25">
      <c r="A601" s="307" t="s">
        <v>287</v>
      </c>
      <c r="B601" s="315" t="s">
        <v>768</v>
      </c>
      <c r="C601" s="365" t="s">
        <v>526</v>
      </c>
      <c r="D601" s="365">
        <v>1</v>
      </c>
      <c r="E601" s="366">
        <v>0.2</v>
      </c>
      <c r="F601" s="312">
        <v>2340000</v>
      </c>
      <c r="G601" s="317">
        <f t="shared" si="147"/>
        <v>5616000</v>
      </c>
      <c r="H601" s="317"/>
      <c r="I601" s="317"/>
      <c r="J601" s="317"/>
      <c r="K601" s="317">
        <f t="shared" si="148"/>
        <v>5616000</v>
      </c>
      <c r="L601" s="313"/>
    </row>
    <row r="602" spans="1:13" hidden="1" x14ac:dyDescent="0.25">
      <c r="A602" s="307" t="s">
        <v>287</v>
      </c>
      <c r="B602" s="315" t="s">
        <v>769</v>
      </c>
      <c r="C602" s="365" t="s">
        <v>526</v>
      </c>
      <c r="D602" s="365">
        <v>3</v>
      </c>
      <c r="E602" s="366">
        <v>6.51</v>
      </c>
      <c r="F602" s="312">
        <v>2340000</v>
      </c>
      <c r="G602" s="317">
        <f>E602*F602*9</f>
        <v>137100600</v>
      </c>
      <c r="H602" s="317"/>
      <c r="I602" s="317"/>
      <c r="J602" s="317"/>
      <c r="K602" s="317">
        <f t="shared" si="148"/>
        <v>137100600</v>
      </c>
      <c r="L602" s="313"/>
    </row>
    <row r="603" spans="1:13" hidden="1" x14ac:dyDescent="0.25">
      <c r="A603" s="307" t="s">
        <v>287</v>
      </c>
      <c r="B603" s="315" t="s">
        <v>742</v>
      </c>
      <c r="C603" s="365" t="s">
        <v>526</v>
      </c>
      <c r="D603" s="365">
        <v>38</v>
      </c>
      <c r="E603" s="366">
        <f>99.134+1.141-3.2683</f>
        <v>97.006700000000009</v>
      </c>
      <c r="F603" s="312">
        <v>2340000</v>
      </c>
      <c r="G603" s="317">
        <f t="shared" ref="G603:G604" si="149">E603*F603*12</f>
        <v>2723948136.0000005</v>
      </c>
      <c r="H603" s="317"/>
      <c r="I603" s="317"/>
      <c r="J603" s="317"/>
      <c r="K603" s="317">
        <f t="shared" si="148"/>
        <v>2723948136.0000005</v>
      </c>
      <c r="L603" s="313"/>
    </row>
    <row r="604" spans="1:13" hidden="1" x14ac:dyDescent="0.25">
      <c r="A604" s="307" t="s">
        <v>287</v>
      </c>
      <c r="B604" s="315" t="s">
        <v>676</v>
      </c>
      <c r="C604" s="365" t="s">
        <v>526</v>
      </c>
      <c r="D604" s="365">
        <v>40</v>
      </c>
      <c r="E604" s="366">
        <f>(E593+E594+E595+E600)*21.5%</f>
        <v>35.608729999999994</v>
      </c>
      <c r="F604" s="312">
        <v>2340000</v>
      </c>
      <c r="G604" s="317">
        <f t="shared" si="149"/>
        <v>999893138.39999986</v>
      </c>
      <c r="H604" s="317"/>
      <c r="I604" s="317"/>
      <c r="J604" s="317"/>
      <c r="K604" s="317">
        <f t="shared" si="148"/>
        <v>999893138.39999986</v>
      </c>
      <c r="L604" s="313"/>
    </row>
    <row r="605" spans="1:13" s="292" customFormat="1" ht="14.25" hidden="1" x14ac:dyDescent="0.25">
      <c r="A605" s="241" t="s">
        <v>74</v>
      </c>
      <c r="B605" s="384" t="s">
        <v>557</v>
      </c>
      <c r="C605" s="377"/>
      <c r="D605" s="377"/>
      <c r="E605" s="386"/>
      <c r="F605" s="369"/>
      <c r="G605" s="491">
        <f>G606</f>
        <v>360000000</v>
      </c>
      <c r="H605" s="491">
        <f t="shared" ref="H605:K605" si="150">H606</f>
        <v>0</v>
      </c>
      <c r="I605" s="491">
        <f t="shared" si="150"/>
        <v>0</v>
      </c>
      <c r="J605" s="491"/>
      <c r="K605" s="491">
        <f t="shared" si="150"/>
        <v>360000000</v>
      </c>
      <c r="L605" s="246"/>
    </row>
    <row r="606" spans="1:13" hidden="1" x14ac:dyDescent="0.25">
      <c r="A606" s="307" t="s">
        <v>287</v>
      </c>
      <c r="B606" s="315" t="s">
        <v>752</v>
      </c>
      <c r="C606" s="365" t="s">
        <v>526</v>
      </c>
      <c r="D606" s="365">
        <f>D591-D592</f>
        <v>4</v>
      </c>
      <c r="E606" s="366"/>
      <c r="F606" s="312">
        <v>10000000</v>
      </c>
      <c r="G606" s="317">
        <f>F606*9*D606</f>
        <v>360000000</v>
      </c>
      <c r="H606" s="317"/>
      <c r="I606" s="317"/>
      <c r="J606" s="317"/>
      <c r="K606" s="317">
        <f>G606</f>
        <v>360000000</v>
      </c>
      <c r="L606" s="313"/>
    </row>
    <row r="607" spans="1:13" ht="18" hidden="1" customHeight="1" x14ac:dyDescent="0.25">
      <c r="A607" s="241" t="s">
        <v>74</v>
      </c>
      <c r="B607" s="384" t="s">
        <v>591</v>
      </c>
      <c r="C607" s="367"/>
      <c r="D607" s="367"/>
      <c r="E607" s="368"/>
      <c r="F607" s="518"/>
      <c r="G607" s="519">
        <f>G608+G609</f>
        <v>796784866.11851835</v>
      </c>
      <c r="H607" s="519">
        <f t="shared" ref="H607:K607" si="151">H608+H609</f>
        <v>79678653.333351821</v>
      </c>
      <c r="I607" s="519">
        <f t="shared" si="151"/>
        <v>42850000</v>
      </c>
      <c r="J607" s="519">
        <f t="shared" si="151"/>
        <v>231888000</v>
      </c>
      <c r="K607" s="519">
        <f t="shared" si="151"/>
        <v>442368212.7851665</v>
      </c>
      <c r="L607" s="254"/>
    </row>
    <row r="608" spans="1:13" hidden="1" x14ac:dyDescent="0.25">
      <c r="A608" s="426" t="s">
        <v>287</v>
      </c>
      <c r="B608" s="315" t="s">
        <v>663</v>
      </c>
      <c r="C608" s="365" t="s">
        <v>526</v>
      </c>
      <c r="D608" s="319">
        <v>40</v>
      </c>
      <c r="E608" s="460">
        <f>E593+E594+E604+E595</f>
        <v>180.61872999999997</v>
      </c>
      <c r="F608" s="512" t="s">
        <v>760</v>
      </c>
      <c r="G608" s="317">
        <f>E608*1490000*12*19/81</f>
        <v>757528332.78518498</v>
      </c>
      <c r="H608" s="317">
        <f>G608*10%+167-0.2785</f>
        <v>75753000.000018492</v>
      </c>
      <c r="I608" s="317">
        <f>32*710000+8*2340000+1410000</f>
        <v>42850000</v>
      </c>
      <c r="J608" s="317">
        <f>K618</f>
        <v>231888000</v>
      </c>
      <c r="K608" s="317">
        <f>G608-H608-I608-J608</f>
        <v>407037332.7851665</v>
      </c>
      <c r="L608" s="520"/>
      <c r="M608" s="242">
        <f>D608*0.2</f>
        <v>8</v>
      </c>
    </row>
    <row r="609" spans="1:15" hidden="1" x14ac:dyDescent="0.25">
      <c r="A609" s="426" t="s">
        <v>287</v>
      </c>
      <c r="B609" s="315" t="s">
        <v>557</v>
      </c>
      <c r="C609" s="365" t="s">
        <v>526</v>
      </c>
      <c r="D609" s="320">
        <f>D591-D592</f>
        <v>4</v>
      </c>
      <c r="E609" s="460">
        <f>2.34*D609</f>
        <v>9.36</v>
      </c>
      <c r="F609" s="512" t="s">
        <v>760</v>
      </c>
      <c r="G609" s="317">
        <f>E609*1490000*12*19/81</f>
        <v>39256533.333333336</v>
      </c>
      <c r="H609" s="317">
        <f>G609*0.1</f>
        <v>3925653.333333334</v>
      </c>
      <c r="I609" s="317"/>
      <c r="J609" s="317"/>
      <c r="K609" s="317">
        <f>G609-H609-I609</f>
        <v>35330880</v>
      </c>
      <c r="L609" s="520"/>
    </row>
    <row r="610" spans="1:15" s="292" customFormat="1" ht="19.5" hidden="1" customHeight="1" x14ac:dyDescent="0.25">
      <c r="A610" s="241" t="s">
        <v>74</v>
      </c>
      <c r="B610" s="384" t="s">
        <v>744</v>
      </c>
      <c r="C610" s="377" t="s">
        <v>526</v>
      </c>
      <c r="D610" s="367">
        <v>40</v>
      </c>
      <c r="E610" s="521">
        <f>E593</f>
        <v>142.31</v>
      </c>
      <c r="F610" s="369">
        <f>2340000*10%</f>
        <v>234000</v>
      </c>
      <c r="G610" s="369">
        <f>F610*E610*12</f>
        <v>399606480</v>
      </c>
      <c r="H610" s="247"/>
      <c r="I610" s="247"/>
      <c r="J610" s="247"/>
      <c r="K610" s="247">
        <f>G610</f>
        <v>399606480</v>
      </c>
      <c r="L610" s="246"/>
    </row>
    <row r="611" spans="1:15" ht="18.75" hidden="1" customHeight="1" x14ac:dyDescent="0.25">
      <c r="A611" s="241" t="s">
        <v>74</v>
      </c>
      <c r="B611" s="384" t="s">
        <v>745</v>
      </c>
      <c r="C611" s="319"/>
      <c r="D611" s="319"/>
      <c r="E611" s="316"/>
      <c r="F611" s="312"/>
      <c r="G611" s="491">
        <f>G613+G612</f>
        <v>500000000</v>
      </c>
      <c r="H611" s="491">
        <f t="shared" ref="H611:K611" si="152">H613+H612</f>
        <v>0</v>
      </c>
      <c r="I611" s="491">
        <f t="shared" si="152"/>
        <v>0</v>
      </c>
      <c r="J611" s="491"/>
      <c r="K611" s="491">
        <f t="shared" si="152"/>
        <v>500000000</v>
      </c>
      <c r="L611" s="313"/>
    </row>
    <row r="612" spans="1:15" ht="22.5" hidden="1" customHeight="1" x14ac:dyDescent="0.25">
      <c r="A612" s="426" t="s">
        <v>287</v>
      </c>
      <c r="B612" s="529" t="s">
        <v>770</v>
      </c>
      <c r="C612" s="307" t="s">
        <v>762</v>
      </c>
      <c r="D612" s="319">
        <v>1</v>
      </c>
      <c r="E612" s="316"/>
      <c r="F612" s="312">
        <v>100000000</v>
      </c>
      <c r="G612" s="317">
        <f>F612*D612</f>
        <v>100000000</v>
      </c>
      <c r="H612" s="317"/>
      <c r="I612" s="317"/>
      <c r="J612" s="317"/>
      <c r="K612" s="317">
        <f>G612-H612-I612</f>
        <v>100000000</v>
      </c>
      <c r="L612" s="313"/>
    </row>
    <row r="613" spans="1:15" ht="30" hidden="1" x14ac:dyDescent="0.25">
      <c r="A613" s="426" t="s">
        <v>287</v>
      </c>
      <c r="B613" s="524" t="s">
        <v>746</v>
      </c>
      <c r="C613" s="525" t="s">
        <v>732</v>
      </c>
      <c r="D613" s="319">
        <v>8</v>
      </c>
      <c r="E613" s="316"/>
      <c r="F613" s="312">
        <v>50000000</v>
      </c>
      <c r="G613" s="317">
        <f>D613*F613</f>
        <v>400000000</v>
      </c>
      <c r="H613" s="317"/>
      <c r="I613" s="317"/>
      <c r="J613" s="317"/>
      <c r="K613" s="317">
        <f>G613-H613-I613</f>
        <v>400000000</v>
      </c>
      <c r="L613" s="313"/>
    </row>
    <row r="614" spans="1:15" s="292" customFormat="1" ht="20.25" hidden="1" customHeight="1" x14ac:dyDescent="0.25">
      <c r="A614" s="522" t="s">
        <v>74</v>
      </c>
      <c r="B614" s="340" t="s">
        <v>733</v>
      </c>
      <c r="C614" s="367"/>
      <c r="D614" s="367"/>
      <c r="E614" s="523"/>
      <c r="F614" s="369"/>
      <c r="G614" s="518">
        <f>SUM(G615:G623)-G616</f>
        <v>4754982000</v>
      </c>
      <c r="H614" s="518">
        <f t="shared" ref="H614:K614" si="153">SUM(H615:H623)-H616</f>
        <v>154592000</v>
      </c>
      <c r="I614" s="518">
        <f t="shared" si="153"/>
        <v>0</v>
      </c>
      <c r="J614" s="518"/>
      <c r="K614" s="518">
        <f t="shared" si="153"/>
        <v>4600390000</v>
      </c>
      <c r="L614" s="246"/>
    </row>
    <row r="615" spans="1:15" ht="32.25" hidden="1" customHeight="1" x14ac:dyDescent="0.25">
      <c r="A615" s="513" t="s">
        <v>287</v>
      </c>
      <c r="B615" s="325" t="s">
        <v>763</v>
      </c>
      <c r="C615" s="319"/>
      <c r="D615" s="319"/>
      <c r="E615" s="428"/>
      <c r="F615" s="312"/>
      <c r="G615" s="444">
        <v>428352000</v>
      </c>
      <c r="H615" s="312"/>
      <c r="I615" s="312"/>
      <c r="J615" s="312"/>
      <c r="K615" s="317">
        <f t="shared" ref="K615" si="154">G615-H615-I615</f>
        <v>428352000</v>
      </c>
      <c r="L615" s="313"/>
    </row>
    <row r="616" spans="1:15" ht="20.25" hidden="1" customHeight="1" x14ac:dyDescent="0.25">
      <c r="A616" s="513" t="s">
        <v>287</v>
      </c>
      <c r="B616" s="325" t="s">
        <v>613</v>
      </c>
      <c r="C616" s="319"/>
      <c r="D616" s="319"/>
      <c r="E616" s="428"/>
      <c r="F616" s="312"/>
      <c r="G616" s="444">
        <f>G617+G618</f>
        <v>1088480000</v>
      </c>
      <c r="H616" s="444">
        <f>H617+H618</f>
        <v>154592000</v>
      </c>
      <c r="I616" s="312"/>
      <c r="J616" s="312"/>
      <c r="K616" s="444">
        <f>K617+K618</f>
        <v>933888000</v>
      </c>
      <c r="L616" s="313"/>
    </row>
    <row r="617" spans="1:15" s="259" customFormat="1" ht="20.25" hidden="1" customHeight="1" x14ac:dyDescent="0.25">
      <c r="A617" s="515"/>
      <c r="B617" s="326" t="s">
        <v>737</v>
      </c>
      <c r="C617" s="477"/>
      <c r="D617" s="477"/>
      <c r="E617" s="430"/>
      <c r="F617" s="330"/>
      <c r="G617" s="516">
        <v>702000000</v>
      </c>
      <c r="H617" s="330"/>
      <c r="I617" s="330"/>
      <c r="J617" s="330"/>
      <c r="K617" s="516">
        <f>G617-H617-I617</f>
        <v>702000000</v>
      </c>
      <c r="L617" s="331"/>
    </row>
    <row r="618" spans="1:15" s="259" customFormat="1" ht="20.25" hidden="1" customHeight="1" x14ac:dyDescent="0.25">
      <c r="A618" s="515"/>
      <c r="B618" s="326" t="s">
        <v>738</v>
      </c>
      <c r="C618" s="477"/>
      <c r="D618" s="477"/>
      <c r="E618" s="430"/>
      <c r="F618" s="330"/>
      <c r="G618" s="516">
        <v>386480000</v>
      </c>
      <c r="H618" s="330">
        <f>G618*0.4</f>
        <v>154592000</v>
      </c>
      <c r="I618" s="330"/>
      <c r="J618" s="330"/>
      <c r="K618" s="516">
        <f>G618-H618-I618</f>
        <v>231888000</v>
      </c>
      <c r="L618" s="331"/>
    </row>
    <row r="619" spans="1:15" ht="36" hidden="1" customHeight="1" x14ac:dyDescent="0.25">
      <c r="A619" s="513" t="s">
        <v>287</v>
      </c>
      <c r="B619" s="325" t="s">
        <v>764</v>
      </c>
      <c r="C619" s="319"/>
      <c r="D619" s="319"/>
      <c r="E619" s="428"/>
      <c r="F619" s="312"/>
      <c r="G619" s="444">
        <v>200000000</v>
      </c>
      <c r="H619" s="312"/>
      <c r="I619" s="312"/>
      <c r="J619" s="312"/>
      <c r="K619" s="317">
        <f>G619-H619-I619</f>
        <v>200000000</v>
      </c>
      <c r="L619" s="313"/>
    </row>
    <row r="620" spans="1:15" ht="36" hidden="1" customHeight="1" x14ac:dyDescent="0.25">
      <c r="A620" s="513" t="s">
        <v>287</v>
      </c>
      <c r="B620" s="325" t="s">
        <v>740</v>
      </c>
      <c r="C620" s="319"/>
      <c r="D620" s="319"/>
      <c r="E620" s="428"/>
      <c r="F620" s="312"/>
      <c r="G620" s="444">
        <v>2886785000</v>
      </c>
      <c r="H620" s="312"/>
      <c r="I620" s="312"/>
      <c r="J620" s="312"/>
      <c r="K620" s="317">
        <f>G620-H620-I620</f>
        <v>2886785000</v>
      </c>
      <c r="L620" s="313"/>
    </row>
    <row r="621" spans="1:15" ht="36" hidden="1" customHeight="1" x14ac:dyDescent="0.25">
      <c r="A621" s="513" t="s">
        <v>287</v>
      </c>
      <c r="B621" s="325" t="s">
        <v>765</v>
      </c>
      <c r="C621" s="319"/>
      <c r="D621" s="319"/>
      <c r="E621" s="428"/>
      <c r="F621" s="312"/>
      <c r="G621" s="444">
        <v>76000000</v>
      </c>
      <c r="H621" s="312"/>
      <c r="I621" s="312"/>
      <c r="J621" s="312"/>
      <c r="K621" s="317">
        <f>G621-H621-I621</f>
        <v>76000000</v>
      </c>
      <c r="L621" s="313"/>
    </row>
    <row r="622" spans="1:15" ht="48.75" hidden="1" customHeight="1" x14ac:dyDescent="0.25">
      <c r="A622" s="513" t="s">
        <v>287</v>
      </c>
      <c r="B622" s="325" t="s">
        <v>771</v>
      </c>
      <c r="C622" s="319"/>
      <c r="D622" s="319"/>
      <c r="E622" s="428"/>
      <c r="F622" s="312"/>
      <c r="G622" s="444">
        <f>31500000+43865000</f>
        <v>75365000</v>
      </c>
      <c r="H622" s="312"/>
      <c r="I622" s="312"/>
      <c r="J622" s="312"/>
      <c r="K622" s="317">
        <f t="shared" ref="K622:K623" si="155">G622-H622-I622</f>
        <v>75365000</v>
      </c>
      <c r="L622" s="313"/>
    </row>
    <row r="623" spans="1:15" ht="48.75" hidden="1" customHeight="1" x14ac:dyDescent="0.25">
      <c r="A623" s="513" t="s">
        <v>287</v>
      </c>
      <c r="B623" s="325" t="s">
        <v>766</v>
      </c>
      <c r="C623" s="319"/>
      <c r="D623" s="319"/>
      <c r="E623" s="428"/>
      <c r="F623" s="312"/>
      <c r="G623" s="444"/>
      <c r="H623" s="312"/>
      <c r="I623" s="312"/>
      <c r="J623" s="312"/>
      <c r="K623" s="317">
        <f t="shared" si="155"/>
        <v>0</v>
      </c>
      <c r="L623" s="313"/>
    </row>
    <row r="624" spans="1:15" s="676" customFormat="1" ht="24" customHeight="1" x14ac:dyDescent="0.25">
      <c r="A624" s="670" t="s">
        <v>775</v>
      </c>
      <c r="B624" s="671" t="s">
        <v>776</v>
      </c>
      <c r="C624" s="672" t="s">
        <v>526</v>
      </c>
      <c r="D624" s="672">
        <v>26</v>
      </c>
      <c r="E624" s="673"/>
      <c r="F624" s="674"/>
      <c r="G624" s="674">
        <f>SUM(G625:G631)</f>
        <v>10993833007.8955</v>
      </c>
      <c r="H624" s="674">
        <f>SUM(H625:H631)</f>
        <v>143142000</v>
      </c>
      <c r="I624" s="674">
        <f>SUM(I625:I631)</f>
        <v>27310000</v>
      </c>
      <c r="J624" s="674">
        <f>SUM(J625:J631)</f>
        <v>129768000</v>
      </c>
      <c r="K624" s="674">
        <f>SUM(K625:K631)</f>
        <v>10693613000</v>
      </c>
      <c r="L624" s="675"/>
      <c r="N624" s="677">
        <f>N625+N626</f>
        <v>10693613000</v>
      </c>
      <c r="O624" s="677">
        <f>K624-N624</f>
        <v>0</v>
      </c>
    </row>
    <row r="625" spans="1:14" ht="23.25" customHeight="1" x14ac:dyDescent="0.25">
      <c r="A625" s="307" t="s">
        <v>576</v>
      </c>
      <c r="B625" s="412" t="s">
        <v>527</v>
      </c>
      <c r="C625" s="319" t="s">
        <v>526</v>
      </c>
      <c r="D625" s="320">
        <f>D642</f>
        <v>24</v>
      </c>
      <c r="E625" s="419">
        <f>E642</f>
        <v>251.55186100999998</v>
      </c>
      <c r="F625" s="312"/>
      <c r="G625" s="444">
        <f>G642</f>
        <v>7034653857.160799</v>
      </c>
      <c r="H625" s="312"/>
      <c r="I625" s="312"/>
      <c r="J625" s="312"/>
      <c r="K625" s="317">
        <f>ROUND(G625-H625-I625-J625,-3)</f>
        <v>7034654000</v>
      </c>
      <c r="L625" s="313"/>
      <c r="M625" s="242" t="s">
        <v>893</v>
      </c>
      <c r="N625" s="293">
        <f>K625+K626+K627+K628+K629</f>
        <v>7883493000</v>
      </c>
    </row>
    <row r="626" spans="1:14" ht="23.25" customHeight="1" x14ac:dyDescent="0.25">
      <c r="A626" s="307" t="s">
        <v>583</v>
      </c>
      <c r="B626" s="412" t="s">
        <v>729</v>
      </c>
      <c r="C626" s="365" t="s">
        <v>526</v>
      </c>
      <c r="D626" s="320">
        <f>D658</f>
        <v>24</v>
      </c>
      <c r="E626" s="460">
        <f>E658</f>
        <v>122.00902700999998</v>
      </c>
      <c r="F626" s="512" t="s">
        <v>730</v>
      </c>
      <c r="G626" s="317">
        <f>E626*1490000*12*20/80</f>
        <v>545380350.73469996</v>
      </c>
      <c r="H626" s="317">
        <f>ROUND(G626*10%,-3)</f>
        <v>54538000</v>
      </c>
      <c r="I626" s="317">
        <f>20*710000+5*2340000+1410000</f>
        <v>27310000</v>
      </c>
      <c r="J626" s="317">
        <f>K635</f>
        <v>129768000</v>
      </c>
      <c r="K626" s="317">
        <f>ROUND(G626-H626-I626-J626,-3)</f>
        <v>333764000</v>
      </c>
      <c r="L626" s="313"/>
      <c r="M626" s="242" t="s">
        <v>894</v>
      </c>
      <c r="N626" s="293">
        <f>K630+K631</f>
        <v>2810120000</v>
      </c>
    </row>
    <row r="627" spans="1:14" ht="23.25" customHeight="1" x14ac:dyDescent="0.25">
      <c r="A627" s="426" t="s">
        <v>585</v>
      </c>
      <c r="B627" s="529" t="s">
        <v>761</v>
      </c>
      <c r="C627" s="307" t="s">
        <v>762</v>
      </c>
      <c r="D627" s="319">
        <v>1</v>
      </c>
      <c r="E627" s="316"/>
      <c r="F627" s="312">
        <v>100000000</v>
      </c>
      <c r="G627" s="317">
        <f>F627*D627</f>
        <v>100000000</v>
      </c>
      <c r="H627" s="317"/>
      <c r="I627" s="317"/>
      <c r="J627" s="317"/>
      <c r="K627" s="317">
        <f>G627-H627-I627</f>
        <v>100000000</v>
      </c>
      <c r="L627" s="313"/>
    </row>
    <row r="628" spans="1:14" ht="35.25" customHeight="1" x14ac:dyDescent="0.25">
      <c r="A628" s="307" t="s">
        <v>587</v>
      </c>
      <c r="B628" s="412" t="s">
        <v>731</v>
      </c>
      <c r="C628" s="418" t="s">
        <v>732</v>
      </c>
      <c r="D628" s="319">
        <v>3</v>
      </c>
      <c r="E628" s="460"/>
      <c r="F628" s="512">
        <v>50000000</v>
      </c>
      <c r="G628" s="317">
        <f>F628*D628</f>
        <v>150000000</v>
      </c>
      <c r="H628" s="317"/>
      <c r="I628" s="317"/>
      <c r="J628" s="317"/>
      <c r="K628" s="317">
        <f>G628-H628-I628</f>
        <v>150000000</v>
      </c>
      <c r="L628" s="313"/>
    </row>
    <row r="629" spans="1:14" ht="34.5" customHeight="1" x14ac:dyDescent="0.25">
      <c r="A629" s="513" t="s">
        <v>595</v>
      </c>
      <c r="B629" s="325" t="s">
        <v>573</v>
      </c>
      <c r="C629" s="319" t="s">
        <v>526</v>
      </c>
      <c r="D629" s="319">
        <f>D660</f>
        <v>24</v>
      </c>
      <c r="E629" s="514">
        <f>E660</f>
        <v>94.399999999999991</v>
      </c>
      <c r="F629" s="312">
        <v>234000</v>
      </c>
      <c r="G629" s="312">
        <f>F629*E629*12</f>
        <v>265075199.99999994</v>
      </c>
      <c r="H629" s="312"/>
      <c r="I629" s="312"/>
      <c r="J629" s="312"/>
      <c r="K629" s="444">
        <f>G629-200</f>
        <v>265074999.99999994</v>
      </c>
      <c r="L629" s="313"/>
    </row>
    <row r="630" spans="1:14" ht="34.5" customHeight="1" x14ac:dyDescent="0.25">
      <c r="A630" s="513" t="s">
        <v>611</v>
      </c>
      <c r="B630" s="325" t="s">
        <v>749</v>
      </c>
      <c r="C630" s="319" t="s">
        <v>526</v>
      </c>
      <c r="D630" s="324">
        <f>D656+D662</f>
        <v>2</v>
      </c>
      <c r="E630" s="514"/>
      <c r="F630" s="312"/>
      <c r="G630" s="312">
        <f>G655+G659+G661</f>
        <v>200919600</v>
      </c>
      <c r="H630" s="312">
        <f>ROUND(H655+H659+H661,-3)</f>
        <v>2092000</v>
      </c>
      <c r="I630" s="312">
        <f>I655+I659+I661</f>
        <v>0</v>
      </c>
      <c r="J630" s="312"/>
      <c r="K630" s="317">
        <f>ROUND(G630-H630-I630-J630,-3)</f>
        <v>198828000</v>
      </c>
      <c r="L630" s="313"/>
      <c r="M630" s="242" t="s">
        <v>750</v>
      </c>
    </row>
    <row r="631" spans="1:14" ht="21" customHeight="1" x14ac:dyDescent="0.25">
      <c r="A631" s="307" t="s">
        <v>616</v>
      </c>
      <c r="B631" s="325" t="s">
        <v>733</v>
      </c>
      <c r="C631" s="309"/>
      <c r="D631" s="309"/>
      <c r="E631" s="419"/>
      <c r="F631" s="312"/>
      <c r="G631" s="323">
        <f>SUM(G632:G640)-G633</f>
        <v>2697804000</v>
      </c>
      <c r="H631" s="323">
        <f t="shared" ref="H631:K631" si="156">SUM(H632:H640)-H633</f>
        <v>86512000</v>
      </c>
      <c r="I631" s="323">
        <f t="shared" si="156"/>
        <v>0</v>
      </c>
      <c r="J631" s="323"/>
      <c r="K631" s="323">
        <f t="shared" si="156"/>
        <v>2611292000</v>
      </c>
      <c r="L631" s="313"/>
    </row>
    <row r="632" spans="1:14" ht="35.25" customHeight="1" x14ac:dyDescent="0.25">
      <c r="A632" s="307" t="s">
        <v>287</v>
      </c>
      <c r="B632" s="325" t="s">
        <v>763</v>
      </c>
      <c r="C632" s="309"/>
      <c r="D632" s="309"/>
      <c r="E632" s="419"/>
      <c r="F632" s="312"/>
      <c r="G632" s="444">
        <f>G671</f>
        <v>321264000</v>
      </c>
      <c r="H632" s="312"/>
      <c r="I632" s="312"/>
      <c r="J632" s="312"/>
      <c r="K632" s="323">
        <f>G632</f>
        <v>321264000</v>
      </c>
      <c r="L632" s="313"/>
    </row>
    <row r="633" spans="1:14" ht="21" customHeight="1" x14ac:dyDescent="0.25">
      <c r="A633" s="307" t="s">
        <v>287</v>
      </c>
      <c r="B633" s="325" t="s">
        <v>613</v>
      </c>
      <c r="C633" s="309"/>
      <c r="D633" s="309"/>
      <c r="E633" s="419"/>
      <c r="F633" s="312"/>
      <c r="G633" s="444">
        <f>G634+G635</f>
        <v>609130000</v>
      </c>
      <c r="H633" s="444">
        <f t="shared" ref="H633:K633" si="157">H634+H635</f>
        <v>86512000</v>
      </c>
      <c r="I633" s="444">
        <f t="shared" si="157"/>
        <v>0</v>
      </c>
      <c r="J633" s="444"/>
      <c r="K633" s="444">
        <f t="shared" si="157"/>
        <v>522618000</v>
      </c>
      <c r="L633" s="313"/>
    </row>
    <row r="634" spans="1:14" ht="21" customHeight="1" x14ac:dyDescent="0.25">
      <c r="A634" s="307" t="s">
        <v>74</v>
      </c>
      <c r="B634" s="326" t="s">
        <v>737</v>
      </c>
      <c r="C634" s="309"/>
      <c r="D634" s="309"/>
      <c r="E634" s="419"/>
      <c r="F634" s="312"/>
      <c r="G634" s="516">
        <f>G673</f>
        <v>392850000</v>
      </c>
      <c r="H634" s="330"/>
      <c r="I634" s="330"/>
      <c r="J634" s="330"/>
      <c r="K634" s="329">
        <f>G634-H634-I634</f>
        <v>392850000</v>
      </c>
      <c r="L634" s="313"/>
    </row>
    <row r="635" spans="1:14" ht="21" customHeight="1" x14ac:dyDescent="0.25">
      <c r="A635" s="307" t="s">
        <v>74</v>
      </c>
      <c r="B635" s="326" t="s">
        <v>738</v>
      </c>
      <c r="C635" s="309"/>
      <c r="D635" s="309"/>
      <c r="E635" s="419"/>
      <c r="F635" s="312"/>
      <c r="G635" s="516">
        <f>G674</f>
        <v>216280000</v>
      </c>
      <c r="H635" s="516">
        <f>H674</f>
        <v>86512000</v>
      </c>
      <c r="I635" s="330"/>
      <c r="J635" s="330"/>
      <c r="K635" s="329">
        <f>G635-H635-I635</f>
        <v>129768000</v>
      </c>
      <c r="L635" s="313"/>
    </row>
    <row r="636" spans="1:14" ht="35.25" customHeight="1" x14ac:dyDescent="0.25">
      <c r="A636" s="307" t="s">
        <v>287</v>
      </c>
      <c r="B636" s="325" t="s">
        <v>764</v>
      </c>
      <c r="C636" s="309"/>
      <c r="D636" s="309"/>
      <c r="E636" s="419"/>
      <c r="F636" s="312"/>
      <c r="G636" s="444">
        <f>G675</f>
        <v>176000000</v>
      </c>
      <c r="H636" s="312"/>
      <c r="I636" s="312"/>
      <c r="J636" s="312"/>
      <c r="K636" s="323">
        <f>G636</f>
        <v>176000000</v>
      </c>
      <c r="L636" s="313"/>
    </row>
    <row r="637" spans="1:14" ht="35.25" customHeight="1" x14ac:dyDescent="0.25">
      <c r="A637" s="307" t="s">
        <v>287</v>
      </c>
      <c r="B637" s="325" t="s">
        <v>740</v>
      </c>
      <c r="C637" s="309"/>
      <c r="D637" s="309"/>
      <c r="E637" s="419"/>
      <c r="F637" s="312"/>
      <c r="G637" s="444">
        <f>G676</f>
        <v>1522914000</v>
      </c>
      <c r="H637" s="312"/>
      <c r="I637" s="312"/>
      <c r="J637" s="312"/>
      <c r="K637" s="323">
        <f t="shared" ref="K637:K638" si="158">G637</f>
        <v>1522914000</v>
      </c>
      <c r="L637" s="313"/>
    </row>
    <row r="638" spans="1:14" ht="35.25" customHeight="1" x14ac:dyDescent="0.25">
      <c r="A638" s="513" t="s">
        <v>287</v>
      </c>
      <c r="B638" s="325" t="s">
        <v>765</v>
      </c>
      <c r="C638" s="319"/>
      <c r="D638" s="319"/>
      <c r="E638" s="428"/>
      <c r="F638" s="312"/>
      <c r="G638" s="444">
        <f t="shared" ref="G638:G640" si="159">G677</f>
        <v>33000000</v>
      </c>
      <c r="H638" s="312"/>
      <c r="I638" s="312"/>
      <c r="J638" s="312"/>
      <c r="K638" s="323">
        <f t="shared" si="158"/>
        <v>33000000</v>
      </c>
      <c r="L638" s="313"/>
    </row>
    <row r="639" spans="1:14" ht="51" customHeight="1" x14ac:dyDescent="0.25">
      <c r="A639" s="513" t="s">
        <v>287</v>
      </c>
      <c r="B639" s="325" t="s">
        <v>771</v>
      </c>
      <c r="C639" s="319"/>
      <c r="D639" s="319"/>
      <c r="E639" s="428"/>
      <c r="F639" s="312"/>
      <c r="G639" s="444">
        <f t="shared" si="159"/>
        <v>35496000</v>
      </c>
      <c r="H639" s="312"/>
      <c r="I639" s="312"/>
      <c r="J639" s="312"/>
      <c r="K639" s="317">
        <f t="shared" ref="K639:K640" si="160">G639-H639-I639</f>
        <v>35496000</v>
      </c>
      <c r="L639" s="313"/>
    </row>
    <row r="640" spans="1:14" ht="51" customHeight="1" x14ac:dyDescent="0.25">
      <c r="A640" s="513" t="s">
        <v>287</v>
      </c>
      <c r="B640" s="325" t="s">
        <v>766</v>
      </c>
      <c r="C640" s="319"/>
      <c r="D640" s="319"/>
      <c r="E640" s="428"/>
      <c r="F640" s="312"/>
      <c r="G640" s="444">
        <f t="shared" si="159"/>
        <v>0</v>
      </c>
      <c r="H640" s="312"/>
      <c r="I640" s="312"/>
      <c r="J640" s="312"/>
      <c r="K640" s="317">
        <f t="shared" si="160"/>
        <v>0</v>
      </c>
      <c r="L640" s="313"/>
    </row>
    <row r="641" spans="1:13" s="489" customFormat="1" ht="18.75" hidden="1" customHeight="1" x14ac:dyDescent="0.25">
      <c r="A641" s="333"/>
      <c r="B641" s="481" t="s">
        <v>777</v>
      </c>
      <c r="C641" s="482"/>
      <c r="D641" s="483">
        <v>26</v>
      </c>
      <c r="E641" s="484"/>
      <c r="F641" s="337"/>
      <c r="G641" s="486">
        <f>G642+G657+G660+G667+G670+G655+G661</f>
        <v>10993833007.8955</v>
      </c>
      <c r="H641" s="486">
        <f>H642+H657+H660+H667+H670+H655+H661</f>
        <v>143141959.99996999</v>
      </c>
      <c r="I641" s="486">
        <f>I642+I657+I660+I667+I670+I655+I661</f>
        <v>27310000</v>
      </c>
      <c r="J641" s="486">
        <f>J642+J657+J660+J667+J670+J655+J661</f>
        <v>129768000</v>
      </c>
      <c r="K641" s="486">
        <f>K642+K657+K660+K667+K670+K655+K661</f>
        <v>10693613047.895529</v>
      </c>
      <c r="L641" s="517"/>
      <c r="M641" s="489" t="s">
        <v>778</v>
      </c>
    </row>
    <row r="642" spans="1:13" hidden="1" x14ac:dyDescent="0.25">
      <c r="A642" s="241" t="s">
        <v>541</v>
      </c>
      <c r="B642" s="490" t="s">
        <v>636</v>
      </c>
      <c r="C642" s="294"/>
      <c r="D642" s="294">
        <v>24</v>
      </c>
      <c r="E642" s="299">
        <f>SUM(E643:E654)</f>
        <v>251.55186100999998</v>
      </c>
      <c r="F642" s="369"/>
      <c r="G642" s="491">
        <f>SUM(G643:G654)</f>
        <v>7034653857.160799</v>
      </c>
      <c r="H642" s="491">
        <f>SUM(H643:H654)</f>
        <v>0</v>
      </c>
      <c r="I642" s="491">
        <f>SUM(I643:I654)</f>
        <v>0</v>
      </c>
      <c r="J642" s="491"/>
      <c r="K642" s="491">
        <f>SUM(K643:K654)</f>
        <v>7034653857.160799</v>
      </c>
      <c r="L642" s="313"/>
    </row>
    <row r="643" spans="1:13" hidden="1" x14ac:dyDescent="0.25">
      <c r="A643" s="307" t="s">
        <v>287</v>
      </c>
      <c r="B643" s="315" t="s">
        <v>543</v>
      </c>
      <c r="C643" s="365" t="s">
        <v>526</v>
      </c>
      <c r="D643" s="365">
        <v>24</v>
      </c>
      <c r="E643" s="422">
        <f>98.46-4.06</f>
        <v>94.399999999999991</v>
      </c>
      <c r="F643" s="312">
        <v>2340000</v>
      </c>
      <c r="G643" s="317">
        <f>E643*F643*12</f>
        <v>2650751999.9999995</v>
      </c>
      <c r="H643" s="317"/>
      <c r="I643" s="317"/>
      <c r="J643" s="317"/>
      <c r="K643" s="317">
        <f>G643-H643-I643</f>
        <v>2650751999.9999995</v>
      </c>
      <c r="L643" s="313"/>
    </row>
    <row r="644" spans="1:13" hidden="1" x14ac:dyDescent="0.25">
      <c r="A644" s="307" t="s">
        <v>287</v>
      </c>
      <c r="B644" s="315" t="s">
        <v>544</v>
      </c>
      <c r="C644" s="365" t="s">
        <v>526</v>
      </c>
      <c r="D644" s="365">
        <v>9</v>
      </c>
      <c r="E644" s="366">
        <v>2.0499999999999998</v>
      </c>
      <c r="F644" s="312">
        <v>2340000</v>
      </c>
      <c r="G644" s="317">
        <f t="shared" ref="G644:G654" si="161">E644*F644*12</f>
        <v>57564000</v>
      </c>
      <c r="H644" s="317"/>
      <c r="I644" s="317"/>
      <c r="J644" s="317"/>
      <c r="K644" s="317">
        <f t="shared" ref="K644:K654" si="162">G644-H644-I644</f>
        <v>57564000</v>
      </c>
      <c r="L644" s="313"/>
    </row>
    <row r="645" spans="1:13" hidden="1" x14ac:dyDescent="0.25">
      <c r="A645" s="307" t="s">
        <v>287</v>
      </c>
      <c r="B645" s="315" t="s">
        <v>545</v>
      </c>
      <c r="C645" s="365" t="s">
        <v>526</v>
      </c>
      <c r="D645" s="365">
        <f>3-1</f>
        <v>2</v>
      </c>
      <c r="E645" s="366">
        <f>1.4616+0.0406-0.6496</f>
        <v>0.85260000000000002</v>
      </c>
      <c r="F645" s="312">
        <v>2340000</v>
      </c>
      <c r="G645" s="317">
        <f t="shared" si="161"/>
        <v>23941008</v>
      </c>
      <c r="H645" s="317"/>
      <c r="I645" s="317"/>
      <c r="J645" s="317"/>
      <c r="K645" s="317">
        <f t="shared" si="162"/>
        <v>23941008</v>
      </c>
      <c r="L645" s="313"/>
    </row>
    <row r="646" spans="1:13" hidden="1" x14ac:dyDescent="0.25">
      <c r="A646" s="307" t="s">
        <v>287</v>
      </c>
      <c r="B646" s="315" t="s">
        <v>546</v>
      </c>
      <c r="C646" s="365" t="s">
        <v>526</v>
      </c>
      <c r="D646" s="365">
        <f>25-1</f>
        <v>24</v>
      </c>
      <c r="E646" s="366">
        <f>D646*0.7</f>
        <v>16.799999999999997</v>
      </c>
      <c r="F646" s="312">
        <v>2340000</v>
      </c>
      <c r="G646" s="317">
        <f t="shared" si="161"/>
        <v>471743999.99999988</v>
      </c>
      <c r="H646" s="317"/>
      <c r="I646" s="317"/>
      <c r="J646" s="317"/>
      <c r="K646" s="317">
        <f t="shared" si="162"/>
        <v>471743999.99999988</v>
      </c>
      <c r="L646" s="313"/>
    </row>
    <row r="647" spans="1:13" hidden="1" x14ac:dyDescent="0.25">
      <c r="A647" s="307" t="s">
        <v>287</v>
      </c>
      <c r="B647" s="315" t="s">
        <v>547</v>
      </c>
      <c r="C647" s="365" t="s">
        <v>526</v>
      </c>
      <c r="D647" s="365">
        <f>23-1</f>
        <v>22</v>
      </c>
      <c r="E647" s="366">
        <f>6.7-0.3</f>
        <v>6.4</v>
      </c>
      <c r="F647" s="312">
        <v>2340000</v>
      </c>
      <c r="G647" s="317">
        <f t="shared" si="161"/>
        <v>179712000</v>
      </c>
      <c r="H647" s="317"/>
      <c r="I647" s="317"/>
      <c r="J647" s="317"/>
      <c r="K647" s="317">
        <f t="shared" si="162"/>
        <v>179712000</v>
      </c>
      <c r="L647" s="313"/>
    </row>
    <row r="648" spans="1:13" hidden="1" x14ac:dyDescent="0.25">
      <c r="A648" s="307" t="s">
        <v>287</v>
      </c>
      <c r="B648" s="315" t="s">
        <v>548</v>
      </c>
      <c r="C648" s="365" t="s">
        <v>526</v>
      </c>
      <c r="D648" s="365">
        <v>1</v>
      </c>
      <c r="E648" s="366">
        <v>1.869</v>
      </c>
      <c r="F648" s="312">
        <v>2340000</v>
      </c>
      <c r="G648" s="317">
        <f t="shared" si="161"/>
        <v>52481520</v>
      </c>
      <c r="H648" s="317"/>
      <c r="I648" s="317"/>
      <c r="J648" s="317"/>
      <c r="K648" s="317">
        <f t="shared" si="162"/>
        <v>52481520</v>
      </c>
      <c r="L648" s="313"/>
    </row>
    <row r="649" spans="1:13" hidden="1" x14ac:dyDescent="0.25">
      <c r="A649" s="307" t="s">
        <v>287</v>
      </c>
      <c r="B649" s="315" t="s">
        <v>549</v>
      </c>
      <c r="C649" s="365" t="s">
        <v>526</v>
      </c>
      <c r="D649" s="365">
        <f>24-1</f>
        <v>23</v>
      </c>
      <c r="E649" s="366">
        <f>22.2-1</f>
        <v>21.2</v>
      </c>
      <c r="F649" s="312">
        <v>2340000</v>
      </c>
      <c r="G649" s="317">
        <f t="shared" si="161"/>
        <v>595296000</v>
      </c>
      <c r="H649" s="317"/>
      <c r="I649" s="317"/>
      <c r="J649" s="317"/>
      <c r="K649" s="317">
        <f t="shared" si="162"/>
        <v>595296000</v>
      </c>
      <c r="L649" s="313"/>
    </row>
    <row r="650" spans="1:13" hidden="1" x14ac:dyDescent="0.25">
      <c r="A650" s="307" t="s">
        <v>287</v>
      </c>
      <c r="B650" s="315" t="s">
        <v>675</v>
      </c>
      <c r="C650" s="365" t="s">
        <v>526</v>
      </c>
      <c r="D650" s="365">
        <f>21-1</f>
        <v>20</v>
      </c>
      <c r="E650" s="366">
        <f>19.00463+0.207648-1.601264</f>
        <v>17.611013999999997</v>
      </c>
      <c r="F650" s="312">
        <v>2340000</v>
      </c>
      <c r="G650" s="317">
        <f t="shared" si="161"/>
        <v>494517273.11999989</v>
      </c>
      <c r="H650" s="317"/>
      <c r="I650" s="317"/>
      <c r="J650" s="317"/>
      <c r="K650" s="317">
        <f t="shared" si="162"/>
        <v>494517273.11999989</v>
      </c>
      <c r="L650" s="313"/>
    </row>
    <row r="651" spans="1:13" hidden="1" x14ac:dyDescent="0.25">
      <c r="A651" s="307" t="s">
        <v>287</v>
      </c>
      <c r="B651" s="315" t="s">
        <v>768</v>
      </c>
      <c r="C651" s="365" t="s">
        <v>526</v>
      </c>
      <c r="D651" s="365">
        <v>1</v>
      </c>
      <c r="E651" s="366">
        <v>0.2</v>
      </c>
      <c r="F651" s="312">
        <v>2340000</v>
      </c>
      <c r="G651" s="317">
        <f t="shared" si="161"/>
        <v>5616000</v>
      </c>
      <c r="H651" s="317"/>
      <c r="I651" s="317"/>
      <c r="J651" s="317"/>
      <c r="K651" s="317">
        <f t="shared" si="162"/>
        <v>5616000</v>
      </c>
      <c r="L651" s="313"/>
    </row>
    <row r="652" spans="1:13" hidden="1" x14ac:dyDescent="0.25">
      <c r="A652" s="307" t="s">
        <v>287</v>
      </c>
      <c r="B652" s="315" t="s">
        <v>769</v>
      </c>
      <c r="C652" s="365" t="s">
        <v>526</v>
      </c>
      <c r="D652" s="365">
        <v>2</v>
      </c>
      <c r="E652" s="366">
        <v>4.12</v>
      </c>
      <c r="F652" s="312">
        <v>2340000</v>
      </c>
      <c r="G652" s="317">
        <f>E652*F652*9</f>
        <v>86767200</v>
      </c>
      <c r="H652" s="317"/>
      <c r="I652" s="317"/>
      <c r="J652" s="317"/>
      <c r="K652" s="317">
        <f t="shared" si="162"/>
        <v>86767200</v>
      </c>
      <c r="L652" s="313"/>
    </row>
    <row r="653" spans="1:13" hidden="1" x14ac:dyDescent="0.25">
      <c r="A653" s="307" t="s">
        <v>287</v>
      </c>
      <c r="B653" s="315" t="s">
        <v>742</v>
      </c>
      <c r="C653" s="365" t="s">
        <v>526</v>
      </c>
      <c r="D653" s="365">
        <f>23-1</f>
        <v>22</v>
      </c>
      <c r="E653" s="366">
        <f>64.61112+0.02842-3.29672</f>
        <v>61.342819999999996</v>
      </c>
      <c r="F653" s="312">
        <v>2340000</v>
      </c>
      <c r="G653" s="317">
        <f t="shared" si="161"/>
        <v>1722506385.5999999</v>
      </c>
      <c r="H653" s="317"/>
      <c r="I653" s="317"/>
      <c r="J653" s="317"/>
      <c r="K653" s="317">
        <f t="shared" si="162"/>
        <v>1722506385.5999999</v>
      </c>
      <c r="L653" s="313"/>
    </row>
    <row r="654" spans="1:13" hidden="1" x14ac:dyDescent="0.25">
      <c r="A654" s="307" t="s">
        <v>287</v>
      </c>
      <c r="B654" s="315" t="s">
        <v>676</v>
      </c>
      <c r="C654" s="365" t="s">
        <v>526</v>
      </c>
      <c r="D654" s="365">
        <f>25-1</f>
        <v>24</v>
      </c>
      <c r="E654" s="366">
        <f>(E643+E644+E645+E650)*21.5%</f>
        <v>24.706427009999995</v>
      </c>
      <c r="F654" s="312">
        <v>2340000</v>
      </c>
      <c r="G654" s="317">
        <f t="shared" si="161"/>
        <v>693756470.44079983</v>
      </c>
      <c r="H654" s="317"/>
      <c r="I654" s="317"/>
      <c r="J654" s="317"/>
      <c r="K654" s="317">
        <f t="shared" si="162"/>
        <v>693756470.44079983</v>
      </c>
      <c r="L654" s="313"/>
    </row>
    <row r="655" spans="1:13" s="292" customFormat="1" ht="14.25" hidden="1" x14ac:dyDescent="0.25">
      <c r="A655" s="241" t="s">
        <v>74</v>
      </c>
      <c r="B655" s="384" t="s">
        <v>557</v>
      </c>
      <c r="C655" s="377"/>
      <c r="D655" s="377"/>
      <c r="E655" s="386"/>
      <c r="F655" s="369"/>
      <c r="G655" s="491">
        <f>G656</f>
        <v>180000000</v>
      </c>
      <c r="H655" s="491">
        <f t="shared" ref="H655:K655" si="163">H656</f>
        <v>0</v>
      </c>
      <c r="I655" s="491">
        <f t="shared" si="163"/>
        <v>0</v>
      </c>
      <c r="J655" s="491"/>
      <c r="K655" s="491">
        <f t="shared" si="163"/>
        <v>180000000</v>
      </c>
      <c r="L655" s="246"/>
    </row>
    <row r="656" spans="1:13" hidden="1" x14ac:dyDescent="0.25">
      <c r="A656" s="307" t="s">
        <v>287</v>
      </c>
      <c r="B656" s="315" t="s">
        <v>752</v>
      </c>
      <c r="C656" s="365" t="s">
        <v>526</v>
      </c>
      <c r="D656" s="365">
        <f>D641-D642</f>
        <v>2</v>
      </c>
      <c r="E656" s="366"/>
      <c r="F656" s="312">
        <v>10000000</v>
      </c>
      <c r="G656" s="317">
        <f>F656*9*D656</f>
        <v>180000000</v>
      </c>
      <c r="H656" s="317"/>
      <c r="I656" s="317"/>
      <c r="J656" s="317"/>
      <c r="K656" s="317">
        <f>G656</f>
        <v>180000000</v>
      </c>
      <c r="L656" s="313"/>
    </row>
    <row r="657" spans="1:13" ht="18" hidden="1" customHeight="1" x14ac:dyDescent="0.25">
      <c r="A657" s="241" t="s">
        <v>74</v>
      </c>
      <c r="B657" s="384" t="s">
        <v>591</v>
      </c>
      <c r="C657" s="367"/>
      <c r="D657" s="367"/>
      <c r="E657" s="368"/>
      <c r="F657" s="518"/>
      <c r="G657" s="519">
        <f>G658+G659</f>
        <v>566299950.73469996</v>
      </c>
      <c r="H657" s="519">
        <f t="shared" ref="H657:K657" si="164">H658+H659</f>
        <v>56629959.999969997</v>
      </c>
      <c r="I657" s="519">
        <f t="shared" si="164"/>
        <v>27310000</v>
      </c>
      <c r="J657" s="519">
        <f t="shared" si="164"/>
        <v>129768000</v>
      </c>
      <c r="K657" s="519">
        <f t="shared" si="164"/>
        <v>352591990.73472995</v>
      </c>
      <c r="L657" s="313"/>
    </row>
    <row r="658" spans="1:13" hidden="1" x14ac:dyDescent="0.25">
      <c r="A658" s="426" t="s">
        <v>287</v>
      </c>
      <c r="B658" s="315" t="s">
        <v>663</v>
      </c>
      <c r="C658" s="365" t="s">
        <v>526</v>
      </c>
      <c r="D658" s="319">
        <f>25-1</f>
        <v>24</v>
      </c>
      <c r="E658" s="460">
        <f>E643+E644+E654+E645</f>
        <v>122.00902700999998</v>
      </c>
      <c r="F658" s="512" t="s">
        <v>730</v>
      </c>
      <c r="G658" s="317">
        <f>E658*1490000*12*20/80</f>
        <v>545380350.73469996</v>
      </c>
      <c r="H658" s="317">
        <f>G658*10%-35.0735</f>
        <v>54537999.999969997</v>
      </c>
      <c r="I658" s="317">
        <f>20*710000+5*2340000+1410000</f>
        <v>27310000</v>
      </c>
      <c r="J658" s="317">
        <f>K674</f>
        <v>129768000</v>
      </c>
      <c r="K658" s="317">
        <f>G658-H658-I658-J658</f>
        <v>333764350.73472995</v>
      </c>
      <c r="L658" s="520"/>
      <c r="M658" s="242">
        <f>D658*0.2</f>
        <v>4.8000000000000007</v>
      </c>
    </row>
    <row r="659" spans="1:13" hidden="1" x14ac:dyDescent="0.25">
      <c r="A659" s="426" t="s">
        <v>287</v>
      </c>
      <c r="B659" s="315" t="s">
        <v>557</v>
      </c>
      <c r="C659" s="365" t="s">
        <v>526</v>
      </c>
      <c r="D659" s="320">
        <f>D641-D642</f>
        <v>2</v>
      </c>
      <c r="E659" s="460">
        <f>2.34*D659</f>
        <v>4.68</v>
      </c>
      <c r="F659" s="512" t="s">
        <v>730</v>
      </c>
      <c r="G659" s="317">
        <f>E659*1490000*12*20/80</f>
        <v>20919600</v>
      </c>
      <c r="H659" s="317">
        <f>G659*0.1</f>
        <v>2091960</v>
      </c>
      <c r="I659" s="317"/>
      <c r="J659" s="317"/>
      <c r="K659" s="317">
        <f>G659-H659-I659</f>
        <v>18827640</v>
      </c>
      <c r="L659" s="520"/>
    </row>
    <row r="660" spans="1:13" s="292" customFormat="1" ht="19.5" hidden="1" customHeight="1" x14ac:dyDescent="0.25">
      <c r="A660" s="241" t="s">
        <v>74</v>
      </c>
      <c r="B660" s="384" t="s">
        <v>744</v>
      </c>
      <c r="C660" s="377" t="s">
        <v>526</v>
      </c>
      <c r="D660" s="367">
        <f>25-1</f>
        <v>24</v>
      </c>
      <c r="E660" s="521">
        <f>E643</f>
        <v>94.399999999999991</v>
      </c>
      <c r="F660" s="369">
        <f>2340000*10%</f>
        <v>234000</v>
      </c>
      <c r="G660" s="369">
        <f>F660*E660*12</f>
        <v>265075199.99999994</v>
      </c>
      <c r="H660" s="247"/>
      <c r="I660" s="247"/>
      <c r="J660" s="247"/>
      <c r="K660" s="247">
        <f>G660</f>
        <v>265075199.99999994</v>
      </c>
      <c r="L660" s="246"/>
    </row>
    <row r="661" spans="1:13" s="292" customFormat="1" ht="19.5" hidden="1" customHeight="1" x14ac:dyDescent="0.25">
      <c r="A661" s="241" t="s">
        <v>74</v>
      </c>
      <c r="B661" s="384" t="s">
        <v>919</v>
      </c>
      <c r="C661" s="377"/>
      <c r="D661" s="367"/>
      <c r="E661" s="521"/>
      <c r="F661" s="369"/>
      <c r="G661" s="369">
        <f>SUM(G662:G666)</f>
        <v>0</v>
      </c>
      <c r="H661" s="369">
        <f t="shared" ref="H661:K661" si="165">SUM(H662:H666)</f>
        <v>0</v>
      </c>
      <c r="I661" s="369">
        <f t="shared" si="165"/>
        <v>0</v>
      </c>
      <c r="J661" s="369"/>
      <c r="K661" s="369">
        <f t="shared" si="165"/>
        <v>0</v>
      </c>
      <c r="L661" s="246"/>
    </row>
    <row r="662" spans="1:13" s="292" customFormat="1" ht="19.5" hidden="1" customHeight="1" x14ac:dyDescent="0.25">
      <c r="A662" s="241" t="s">
        <v>287</v>
      </c>
      <c r="B662" s="315" t="s">
        <v>543</v>
      </c>
      <c r="C662" s="365" t="s">
        <v>526</v>
      </c>
      <c r="D662" s="365"/>
      <c r="E662" s="422"/>
      <c r="F662" s="312">
        <v>2340000</v>
      </c>
      <c r="G662" s="317">
        <f>E662*F662*12</f>
        <v>0</v>
      </c>
      <c r="H662" s="317"/>
      <c r="I662" s="317"/>
      <c r="J662" s="317"/>
      <c r="K662" s="317">
        <f>G662-H662-I662</f>
        <v>0</v>
      </c>
      <c r="L662" s="246"/>
    </row>
    <row r="663" spans="1:13" s="292" customFormat="1" ht="19.5" hidden="1" customHeight="1" x14ac:dyDescent="0.25">
      <c r="A663" s="241" t="s">
        <v>287</v>
      </c>
      <c r="B663" s="315" t="s">
        <v>546</v>
      </c>
      <c r="C663" s="365" t="s">
        <v>526</v>
      </c>
      <c r="D663" s="365"/>
      <c r="E663" s="366"/>
      <c r="F663" s="312">
        <v>2340000</v>
      </c>
      <c r="G663" s="317">
        <f t="shared" ref="G663:G665" si="166">E663*F663*12</f>
        <v>0</v>
      </c>
      <c r="H663" s="317"/>
      <c r="I663" s="317"/>
      <c r="J663" s="317"/>
      <c r="K663" s="317">
        <f t="shared" ref="K663:K665" si="167">G663-H663-I663</f>
        <v>0</v>
      </c>
      <c r="L663" s="246"/>
    </row>
    <row r="664" spans="1:13" s="292" customFormat="1" ht="19.5" hidden="1" customHeight="1" x14ac:dyDescent="0.25">
      <c r="A664" s="241" t="s">
        <v>287</v>
      </c>
      <c r="B664" s="315" t="s">
        <v>549</v>
      </c>
      <c r="C664" s="365" t="s">
        <v>526</v>
      </c>
      <c r="D664" s="365"/>
      <c r="E664" s="366"/>
      <c r="F664" s="312">
        <v>2340000</v>
      </c>
      <c r="G664" s="317">
        <f t="shared" si="166"/>
        <v>0</v>
      </c>
      <c r="H664" s="317"/>
      <c r="I664" s="317"/>
      <c r="J664" s="317"/>
      <c r="K664" s="317">
        <f t="shared" si="167"/>
        <v>0</v>
      </c>
      <c r="L664" s="246"/>
    </row>
    <row r="665" spans="1:13" s="292" customFormat="1" ht="19.5" hidden="1" customHeight="1" x14ac:dyDescent="0.25">
      <c r="A665" s="241" t="s">
        <v>287</v>
      </c>
      <c r="B665" s="315" t="s">
        <v>676</v>
      </c>
      <c r="C665" s="365" t="s">
        <v>526</v>
      </c>
      <c r="D665" s="365"/>
      <c r="E665" s="366"/>
      <c r="F665" s="312">
        <v>2340000</v>
      </c>
      <c r="G665" s="317">
        <f t="shared" si="166"/>
        <v>0</v>
      </c>
      <c r="H665" s="317"/>
      <c r="I665" s="317"/>
      <c r="J665" s="317"/>
      <c r="K665" s="317">
        <f t="shared" si="167"/>
        <v>0</v>
      </c>
      <c r="L665" s="246"/>
    </row>
    <row r="666" spans="1:13" ht="19.5" hidden="1" customHeight="1" x14ac:dyDescent="0.25">
      <c r="A666" s="307" t="s">
        <v>287</v>
      </c>
      <c r="B666" s="315" t="s">
        <v>149</v>
      </c>
      <c r="C666" s="365" t="s">
        <v>526</v>
      </c>
      <c r="D666" s="319"/>
      <c r="E666" s="321"/>
      <c r="F666" s="512">
        <v>3000000</v>
      </c>
      <c r="G666" s="317">
        <f>D666*F666</f>
        <v>0</v>
      </c>
      <c r="H666" s="317"/>
      <c r="I666" s="317"/>
      <c r="J666" s="317"/>
      <c r="K666" s="317">
        <f>G666-H666-I666</f>
        <v>0</v>
      </c>
      <c r="L666" s="313"/>
    </row>
    <row r="667" spans="1:13" hidden="1" x14ac:dyDescent="0.25">
      <c r="A667" s="241" t="s">
        <v>74</v>
      </c>
      <c r="B667" s="384" t="s">
        <v>745</v>
      </c>
      <c r="C667" s="319"/>
      <c r="D667" s="319"/>
      <c r="E667" s="316"/>
      <c r="F667" s="312"/>
      <c r="G667" s="491">
        <f>G669+G668</f>
        <v>250000000</v>
      </c>
      <c r="H667" s="491">
        <f t="shared" ref="H667:K667" si="168">H669+H668</f>
        <v>0</v>
      </c>
      <c r="I667" s="491">
        <f t="shared" si="168"/>
        <v>0</v>
      </c>
      <c r="J667" s="491"/>
      <c r="K667" s="491">
        <f t="shared" si="168"/>
        <v>250000000</v>
      </c>
      <c r="L667" s="313"/>
    </row>
    <row r="668" spans="1:13" ht="18.75" hidden="1" customHeight="1" x14ac:dyDescent="0.25">
      <c r="A668" s="426" t="s">
        <v>287</v>
      </c>
      <c r="B668" s="529" t="s">
        <v>761</v>
      </c>
      <c r="C668" s="307" t="s">
        <v>762</v>
      </c>
      <c r="D668" s="319">
        <v>1</v>
      </c>
      <c r="E668" s="316"/>
      <c r="F668" s="312">
        <v>100000000</v>
      </c>
      <c r="G668" s="317">
        <f>F668*D668</f>
        <v>100000000</v>
      </c>
      <c r="H668" s="317"/>
      <c r="I668" s="317"/>
      <c r="J668" s="317"/>
      <c r="K668" s="317">
        <f>G668-H668-I668</f>
        <v>100000000</v>
      </c>
      <c r="L668" s="313"/>
    </row>
    <row r="669" spans="1:13" ht="30" hidden="1" x14ac:dyDescent="0.25">
      <c r="A669" s="426" t="s">
        <v>287</v>
      </c>
      <c r="B669" s="524" t="s">
        <v>746</v>
      </c>
      <c r="C669" s="525" t="s">
        <v>732</v>
      </c>
      <c r="D669" s="319">
        <v>3</v>
      </c>
      <c r="E669" s="316"/>
      <c r="F669" s="312">
        <v>50000000</v>
      </c>
      <c r="G669" s="317">
        <f>D669*F669</f>
        <v>150000000</v>
      </c>
      <c r="H669" s="317"/>
      <c r="I669" s="317"/>
      <c r="J669" s="317"/>
      <c r="K669" s="317">
        <f>G669-H669-I669</f>
        <v>150000000</v>
      </c>
      <c r="L669" s="313"/>
    </row>
    <row r="670" spans="1:13" s="292" customFormat="1" ht="20.25" hidden="1" customHeight="1" x14ac:dyDescent="0.25">
      <c r="A670" s="522" t="s">
        <v>74</v>
      </c>
      <c r="B670" s="340" t="s">
        <v>733</v>
      </c>
      <c r="C670" s="367"/>
      <c r="D670" s="367"/>
      <c r="E670" s="523"/>
      <c r="F670" s="369"/>
      <c r="G670" s="518">
        <f>SUM(G671:G679)-G672</f>
        <v>2697804000</v>
      </c>
      <c r="H670" s="518">
        <f t="shared" ref="H670:K670" si="169">SUM(H671:H679)-H672</f>
        <v>86512000</v>
      </c>
      <c r="I670" s="518">
        <f t="shared" si="169"/>
        <v>0</v>
      </c>
      <c r="J670" s="518"/>
      <c r="K670" s="518">
        <f t="shared" si="169"/>
        <v>2611292000</v>
      </c>
      <c r="L670" s="246"/>
    </row>
    <row r="671" spans="1:13" ht="32.25" hidden="1" customHeight="1" x14ac:dyDescent="0.25">
      <c r="A671" s="513" t="s">
        <v>287</v>
      </c>
      <c r="B671" s="325" t="s">
        <v>763</v>
      </c>
      <c r="C671" s="319"/>
      <c r="D671" s="319"/>
      <c r="E671" s="428"/>
      <c r="F671" s="312"/>
      <c r="G671" s="444">
        <v>321264000</v>
      </c>
      <c r="H671" s="312"/>
      <c r="I671" s="312"/>
      <c r="J671" s="312"/>
      <c r="K671" s="317">
        <f t="shared" ref="K671" si="170">G671-H671-I671</f>
        <v>321264000</v>
      </c>
      <c r="L671" s="313"/>
    </row>
    <row r="672" spans="1:13" ht="20.25" hidden="1" customHeight="1" x14ac:dyDescent="0.25">
      <c r="A672" s="513" t="s">
        <v>287</v>
      </c>
      <c r="B672" s="325" t="s">
        <v>613</v>
      </c>
      <c r="C672" s="319"/>
      <c r="D672" s="319"/>
      <c r="E672" s="428"/>
      <c r="F672" s="312"/>
      <c r="G672" s="444">
        <f>G673+G674</f>
        <v>609130000</v>
      </c>
      <c r="H672" s="444">
        <f>H673+H674</f>
        <v>86512000</v>
      </c>
      <c r="I672" s="312"/>
      <c r="J672" s="312"/>
      <c r="K672" s="444">
        <f>K673+K674</f>
        <v>522618000</v>
      </c>
      <c r="L672" s="313"/>
    </row>
    <row r="673" spans="1:15" s="259" customFormat="1" ht="20.25" hidden="1" customHeight="1" x14ac:dyDescent="0.25">
      <c r="A673" s="515"/>
      <c r="B673" s="326" t="s">
        <v>737</v>
      </c>
      <c r="C673" s="477"/>
      <c r="D673" s="477"/>
      <c r="E673" s="430"/>
      <c r="F673" s="330"/>
      <c r="G673" s="516">
        <v>392850000</v>
      </c>
      <c r="H673" s="330"/>
      <c r="I673" s="330"/>
      <c r="J673" s="330"/>
      <c r="K673" s="516">
        <f>G673-H673-I673</f>
        <v>392850000</v>
      </c>
      <c r="L673" s="331"/>
    </row>
    <row r="674" spans="1:15" s="259" customFormat="1" ht="20.25" hidden="1" customHeight="1" x14ac:dyDescent="0.25">
      <c r="A674" s="515"/>
      <c r="B674" s="326" t="s">
        <v>738</v>
      </c>
      <c r="C674" s="477"/>
      <c r="D674" s="477"/>
      <c r="E674" s="430"/>
      <c r="F674" s="330"/>
      <c r="G674" s="516">
        <v>216280000</v>
      </c>
      <c r="H674" s="330">
        <f>G674*0.4</f>
        <v>86512000</v>
      </c>
      <c r="I674" s="330"/>
      <c r="J674" s="330"/>
      <c r="K674" s="516">
        <f>G674-H674-I674</f>
        <v>129768000</v>
      </c>
      <c r="L674" s="331"/>
    </row>
    <row r="675" spans="1:15" ht="33.75" hidden="1" customHeight="1" x14ac:dyDescent="0.25">
      <c r="A675" s="513" t="s">
        <v>287</v>
      </c>
      <c r="B675" s="325" t="s">
        <v>764</v>
      </c>
      <c r="C675" s="319"/>
      <c r="D675" s="319"/>
      <c r="E675" s="428"/>
      <c r="F675" s="312"/>
      <c r="G675" s="444">
        <v>176000000</v>
      </c>
      <c r="H675" s="312"/>
      <c r="I675" s="312"/>
      <c r="J675" s="312"/>
      <c r="K675" s="317">
        <f>G675-H675-I675</f>
        <v>176000000</v>
      </c>
      <c r="L675" s="313"/>
    </row>
    <row r="676" spans="1:15" ht="33.75" hidden="1" customHeight="1" x14ac:dyDescent="0.25">
      <c r="A676" s="513" t="s">
        <v>287</v>
      </c>
      <c r="B676" s="325" t="s">
        <v>740</v>
      </c>
      <c r="C676" s="319"/>
      <c r="D676" s="319"/>
      <c r="E676" s="428"/>
      <c r="F676" s="312"/>
      <c r="G676" s="444">
        <v>1522914000</v>
      </c>
      <c r="H676" s="312"/>
      <c r="I676" s="312"/>
      <c r="J676" s="312"/>
      <c r="K676" s="317">
        <f>G676-H676-I676</f>
        <v>1522914000</v>
      </c>
      <c r="L676" s="313"/>
    </row>
    <row r="677" spans="1:15" ht="30" hidden="1" x14ac:dyDescent="0.25">
      <c r="A677" s="513" t="s">
        <v>287</v>
      </c>
      <c r="B677" s="325" t="s">
        <v>765</v>
      </c>
      <c r="C677" s="319"/>
      <c r="D677" s="319"/>
      <c r="E677" s="428"/>
      <c r="F677" s="312"/>
      <c r="G677" s="444">
        <v>33000000</v>
      </c>
      <c r="H677" s="312"/>
      <c r="I677" s="312"/>
      <c r="J677" s="312"/>
      <c r="K677" s="317">
        <f>G677-H677-I677</f>
        <v>33000000</v>
      </c>
      <c r="L677" s="313"/>
    </row>
    <row r="678" spans="1:15" ht="60" hidden="1" x14ac:dyDescent="0.25">
      <c r="A678" s="513" t="s">
        <v>287</v>
      </c>
      <c r="B678" s="325" t="s">
        <v>771</v>
      </c>
      <c r="C678" s="319"/>
      <c r="D678" s="319"/>
      <c r="E678" s="428"/>
      <c r="F678" s="312"/>
      <c r="G678" s="444">
        <f>16000000+19496000</f>
        <v>35496000</v>
      </c>
      <c r="H678" s="312"/>
      <c r="I678" s="312"/>
      <c r="J678" s="312"/>
      <c r="K678" s="317">
        <f t="shared" ref="K678:K679" si="171">G678-H678-I678</f>
        <v>35496000</v>
      </c>
      <c r="L678" s="313"/>
    </row>
    <row r="679" spans="1:15" ht="45" hidden="1" x14ac:dyDescent="0.25">
      <c r="A679" s="513" t="s">
        <v>287</v>
      </c>
      <c r="B679" s="325" t="s">
        <v>766</v>
      </c>
      <c r="C679" s="319"/>
      <c r="D679" s="319"/>
      <c r="E679" s="428"/>
      <c r="F679" s="312"/>
      <c r="G679" s="444"/>
      <c r="H679" s="312"/>
      <c r="I679" s="312"/>
      <c r="J679" s="312"/>
      <c r="K679" s="317">
        <f t="shared" si="171"/>
        <v>0</v>
      </c>
      <c r="L679" s="313"/>
    </row>
    <row r="680" spans="1:15" s="306" customFormat="1" ht="24" customHeight="1" x14ac:dyDescent="0.25">
      <c r="A680" s="300" t="s">
        <v>31</v>
      </c>
      <c r="B680" s="403" t="s">
        <v>779</v>
      </c>
      <c r="C680" s="498" t="s">
        <v>526</v>
      </c>
      <c r="D680" s="302">
        <f>D681+D724+D767</f>
        <v>63</v>
      </c>
      <c r="E680" s="475"/>
      <c r="F680" s="304"/>
      <c r="G680" s="304">
        <f>G681+G724+G767</f>
        <v>27421550407.535</v>
      </c>
      <c r="H680" s="304">
        <f>H681+H724+H767</f>
        <v>431633999.99950004</v>
      </c>
      <c r="I680" s="304">
        <f>I681+I724+I767</f>
        <v>67100000</v>
      </c>
      <c r="J680" s="304">
        <f>J681+J724+J767</f>
        <v>473655000</v>
      </c>
      <c r="K680" s="304">
        <f>K681+K724+K767</f>
        <v>26449160000</v>
      </c>
      <c r="L680" s="305"/>
    </row>
    <row r="681" spans="1:15" s="676" customFormat="1" ht="24" customHeight="1" x14ac:dyDescent="0.25">
      <c r="A681" s="670" t="s">
        <v>780</v>
      </c>
      <c r="B681" s="671" t="s">
        <v>781</v>
      </c>
      <c r="C681" s="672" t="s">
        <v>526</v>
      </c>
      <c r="D681" s="672">
        <v>24</v>
      </c>
      <c r="E681" s="673"/>
      <c r="F681" s="674"/>
      <c r="G681" s="674">
        <f>SUM(G682:G687)</f>
        <v>10986488828</v>
      </c>
      <c r="H681" s="674">
        <f t="shared" ref="H681:K681" si="172">SUM(H682:H687)</f>
        <v>179137000</v>
      </c>
      <c r="I681" s="674">
        <f t="shared" si="172"/>
        <v>23550000</v>
      </c>
      <c r="J681" s="674">
        <f t="shared" ref="J681" si="173">SUM(J682:J687)</f>
        <v>208494000</v>
      </c>
      <c r="K681" s="674">
        <f t="shared" si="172"/>
        <v>10575308000</v>
      </c>
      <c r="L681" s="675"/>
      <c r="N681" s="677">
        <f>N682+N683</f>
        <v>10575308000</v>
      </c>
      <c r="O681" s="677">
        <f>K681-N681</f>
        <v>0</v>
      </c>
    </row>
    <row r="682" spans="1:15" ht="22.5" customHeight="1" x14ac:dyDescent="0.25">
      <c r="A682" s="307" t="s">
        <v>576</v>
      </c>
      <c r="B682" s="412" t="s">
        <v>527</v>
      </c>
      <c r="C682" s="319" t="s">
        <v>526</v>
      </c>
      <c r="D682" s="320">
        <f>D695</f>
        <v>22</v>
      </c>
      <c r="E682" s="419">
        <f>E695</f>
        <v>183.70592500000001</v>
      </c>
      <c r="F682" s="312"/>
      <c r="G682" s="444">
        <f>G695</f>
        <v>5152846374</v>
      </c>
      <c r="H682" s="312"/>
      <c r="I682" s="312"/>
      <c r="J682" s="312"/>
      <c r="K682" s="317">
        <f>ROUND(G682-H682-I682-J682,-3)</f>
        <v>5152846000</v>
      </c>
      <c r="L682" s="313"/>
      <c r="M682" s="242" t="s">
        <v>893</v>
      </c>
      <c r="N682" s="293">
        <f>K682+K683+K684+K686</f>
        <v>5553598000</v>
      </c>
    </row>
    <row r="683" spans="1:15" ht="22.5" customHeight="1" x14ac:dyDescent="0.25">
      <c r="A683" s="307" t="s">
        <v>583</v>
      </c>
      <c r="B683" s="412" t="s">
        <v>729</v>
      </c>
      <c r="C683" s="365" t="s">
        <v>526</v>
      </c>
      <c r="D683" s="320">
        <f>D711</f>
        <v>22</v>
      </c>
      <c r="E683" s="460">
        <f>E711</f>
        <v>85.120925000000028</v>
      </c>
      <c r="F683" s="512" t="s">
        <v>730</v>
      </c>
      <c r="G683" s="317">
        <f>E683*1490000*12*20/80-0.75</f>
        <v>380490534.00000012</v>
      </c>
      <c r="H683" s="317">
        <f>ROUND(G683*10%,-3)</f>
        <v>38049000</v>
      </c>
      <c r="I683" s="317">
        <f>18*710000+4*2340000+1410000</f>
        <v>23550000</v>
      </c>
      <c r="J683" s="317">
        <f>K691</f>
        <v>208494000</v>
      </c>
      <c r="K683" s="317">
        <f>ROUND(G683-H683-I683-J683,-3)</f>
        <v>110398000</v>
      </c>
      <c r="L683" s="313"/>
      <c r="M683" s="242" t="s">
        <v>894</v>
      </c>
      <c r="N683" s="293">
        <f>K685+K687</f>
        <v>5021710000</v>
      </c>
    </row>
    <row r="684" spans="1:15" ht="34.5" customHeight="1" x14ac:dyDescent="0.25">
      <c r="A684" s="513" t="s">
        <v>585</v>
      </c>
      <c r="B684" s="325" t="s">
        <v>573</v>
      </c>
      <c r="C684" s="319" t="s">
        <v>526</v>
      </c>
      <c r="D684" s="319">
        <f>D713</f>
        <v>22</v>
      </c>
      <c r="E684" s="514">
        <f>E713</f>
        <v>67.79000000000002</v>
      </c>
      <c r="F684" s="312">
        <v>234000</v>
      </c>
      <c r="G684" s="312">
        <f>F684*E684*12</f>
        <v>190354320.00000006</v>
      </c>
      <c r="H684" s="312"/>
      <c r="I684" s="312"/>
      <c r="J684" s="312"/>
      <c r="K684" s="444">
        <f>G684-320</f>
        <v>190354000.00000006</v>
      </c>
      <c r="L684" s="313"/>
    </row>
    <row r="685" spans="1:15" ht="34.5" customHeight="1" x14ac:dyDescent="0.25">
      <c r="A685" s="513" t="s">
        <v>587</v>
      </c>
      <c r="B685" s="325" t="s">
        <v>749</v>
      </c>
      <c r="C685" s="319" t="s">
        <v>526</v>
      </c>
      <c r="D685" s="324">
        <f>D709</f>
        <v>2</v>
      </c>
      <c r="E685" s="514"/>
      <c r="F685" s="312"/>
      <c r="G685" s="312">
        <f>G708+G712</f>
        <v>200919600</v>
      </c>
      <c r="H685" s="312">
        <f>ROUND(H708+H712,-3)</f>
        <v>2092000</v>
      </c>
      <c r="I685" s="312">
        <f t="shared" ref="I685" si="174">I708+I712</f>
        <v>0</v>
      </c>
      <c r="J685" s="312"/>
      <c r="K685" s="317">
        <f>ROUND(G685-H685-I685-J685,-3)</f>
        <v>198828000</v>
      </c>
      <c r="L685" s="313"/>
      <c r="M685" s="242" t="s">
        <v>750</v>
      </c>
    </row>
    <row r="686" spans="1:15" ht="24" customHeight="1" x14ac:dyDescent="0.25">
      <c r="A686" s="513" t="s">
        <v>595</v>
      </c>
      <c r="B686" s="529" t="s">
        <v>761</v>
      </c>
      <c r="C686" s="307" t="s">
        <v>762</v>
      </c>
      <c r="D686" s="319">
        <v>1</v>
      </c>
      <c r="E686" s="316"/>
      <c r="F686" s="312">
        <v>100000000</v>
      </c>
      <c r="G686" s="317">
        <f>F686*D686</f>
        <v>100000000</v>
      </c>
      <c r="H686" s="317"/>
      <c r="I686" s="317"/>
      <c r="J686" s="317"/>
      <c r="K686" s="317">
        <f>G686-H686-I686</f>
        <v>100000000</v>
      </c>
      <c r="L686" s="313"/>
    </row>
    <row r="687" spans="1:15" ht="24" customHeight="1" x14ac:dyDescent="0.25">
      <c r="A687" s="307" t="s">
        <v>611</v>
      </c>
      <c r="B687" s="325" t="s">
        <v>733</v>
      </c>
      <c r="C687" s="309"/>
      <c r="D687" s="309"/>
      <c r="E687" s="419"/>
      <c r="F687" s="312"/>
      <c r="G687" s="323">
        <f>SUM(G688:G693)-G689</f>
        <v>4961878000</v>
      </c>
      <c r="H687" s="323">
        <f t="shared" ref="H687:K687" si="175">SUM(H688:H693)-H689</f>
        <v>138996000</v>
      </c>
      <c r="I687" s="323">
        <f t="shared" si="175"/>
        <v>0</v>
      </c>
      <c r="J687" s="323"/>
      <c r="K687" s="323">
        <f t="shared" si="175"/>
        <v>4822882000</v>
      </c>
      <c r="L687" s="313"/>
    </row>
    <row r="688" spans="1:15" ht="36.75" customHeight="1" x14ac:dyDescent="0.25">
      <c r="A688" s="307" t="s">
        <v>287</v>
      </c>
      <c r="B688" s="325" t="s">
        <v>763</v>
      </c>
      <c r="C688" s="309"/>
      <c r="D688" s="309"/>
      <c r="E688" s="419"/>
      <c r="F688" s="312"/>
      <c r="G688" s="323">
        <f>G718</f>
        <v>419000000</v>
      </c>
      <c r="H688" s="312"/>
      <c r="I688" s="312"/>
      <c r="J688" s="312"/>
      <c r="K688" s="323">
        <f>G688-H688-I688</f>
        <v>419000000</v>
      </c>
      <c r="L688" s="313"/>
    </row>
    <row r="689" spans="1:12" ht="21.75" customHeight="1" x14ac:dyDescent="0.25">
      <c r="A689" s="307" t="s">
        <v>287</v>
      </c>
      <c r="B689" s="325" t="s">
        <v>613</v>
      </c>
      <c r="C689" s="309"/>
      <c r="D689" s="309"/>
      <c r="E689" s="419"/>
      <c r="F689" s="312"/>
      <c r="G689" s="323">
        <f>G690+G691</f>
        <v>879990000</v>
      </c>
      <c r="H689" s="323">
        <f t="shared" ref="H689:K689" si="176">H690+H691</f>
        <v>138996000</v>
      </c>
      <c r="I689" s="323">
        <f t="shared" si="176"/>
        <v>0</v>
      </c>
      <c r="J689" s="323"/>
      <c r="K689" s="323">
        <f t="shared" si="176"/>
        <v>740994000</v>
      </c>
      <c r="L689" s="313"/>
    </row>
    <row r="690" spans="1:12" ht="21.75" customHeight="1" x14ac:dyDescent="0.25">
      <c r="A690" s="307" t="s">
        <v>74</v>
      </c>
      <c r="B690" s="326" t="s">
        <v>737</v>
      </c>
      <c r="C690" s="309"/>
      <c r="D690" s="309"/>
      <c r="E690" s="419"/>
      <c r="F690" s="312"/>
      <c r="G690" s="329">
        <f>G720</f>
        <v>532500000</v>
      </c>
      <c r="H690" s="329"/>
      <c r="I690" s="330"/>
      <c r="J690" s="330"/>
      <c r="K690" s="329">
        <f t="shared" ref="K690:K693" si="177">G690-H690-I690</f>
        <v>532500000</v>
      </c>
      <c r="L690" s="313"/>
    </row>
    <row r="691" spans="1:12" ht="21.75" customHeight="1" x14ac:dyDescent="0.25">
      <c r="A691" s="307" t="s">
        <v>74</v>
      </c>
      <c r="B691" s="326" t="s">
        <v>738</v>
      </c>
      <c r="C691" s="309"/>
      <c r="D691" s="309"/>
      <c r="E691" s="419"/>
      <c r="F691" s="312"/>
      <c r="G691" s="329">
        <f>G721</f>
        <v>347490000</v>
      </c>
      <c r="H691" s="329">
        <f>G691*0.4</f>
        <v>138996000</v>
      </c>
      <c r="I691" s="330"/>
      <c r="J691" s="330"/>
      <c r="K691" s="329">
        <f t="shared" si="177"/>
        <v>208494000</v>
      </c>
      <c r="L691" s="313"/>
    </row>
    <row r="692" spans="1:12" ht="36" customHeight="1" x14ac:dyDescent="0.25">
      <c r="A692" s="307" t="s">
        <v>287</v>
      </c>
      <c r="B692" s="325" t="s">
        <v>764</v>
      </c>
      <c r="C692" s="309"/>
      <c r="D692" s="309"/>
      <c r="E692" s="419"/>
      <c r="F692" s="312"/>
      <c r="G692" s="323">
        <f>G722</f>
        <v>240000000</v>
      </c>
      <c r="H692" s="312"/>
      <c r="I692" s="312"/>
      <c r="J692" s="312"/>
      <c r="K692" s="323">
        <f t="shared" si="177"/>
        <v>240000000</v>
      </c>
      <c r="L692" s="313"/>
    </row>
    <row r="693" spans="1:12" ht="36" customHeight="1" x14ac:dyDescent="0.25">
      <c r="A693" s="307" t="s">
        <v>287</v>
      </c>
      <c r="B693" s="325" t="s">
        <v>740</v>
      </c>
      <c r="C693" s="309"/>
      <c r="D693" s="309"/>
      <c r="E693" s="419"/>
      <c r="F693" s="312"/>
      <c r="G693" s="323">
        <f t="shared" ref="G693" si="178">G723</f>
        <v>3422888000</v>
      </c>
      <c r="H693" s="312"/>
      <c r="I693" s="312"/>
      <c r="J693" s="312"/>
      <c r="K693" s="323">
        <f t="shared" si="177"/>
        <v>3422888000</v>
      </c>
      <c r="L693" s="313"/>
    </row>
    <row r="694" spans="1:12" s="489" customFormat="1" ht="18.75" hidden="1" customHeight="1" x14ac:dyDescent="0.25">
      <c r="A694" s="333"/>
      <c r="B694" s="481" t="s">
        <v>782</v>
      </c>
      <c r="C694" s="482"/>
      <c r="D694" s="483">
        <v>24</v>
      </c>
      <c r="E694" s="484"/>
      <c r="F694" s="337"/>
      <c r="G694" s="486">
        <f>G695+G710+G713+G714+G717+G708</f>
        <v>10986488828</v>
      </c>
      <c r="H694" s="486">
        <f t="shared" ref="H694:K694" si="179">H695+H710+H713+H714+H717+H708</f>
        <v>179136960</v>
      </c>
      <c r="I694" s="486">
        <f t="shared" si="179"/>
        <v>23550000</v>
      </c>
      <c r="J694" s="486">
        <f t="shared" si="179"/>
        <v>208494000</v>
      </c>
      <c r="K694" s="486">
        <f t="shared" si="179"/>
        <v>10575307868</v>
      </c>
      <c r="L694" s="517"/>
    </row>
    <row r="695" spans="1:12" hidden="1" x14ac:dyDescent="0.25">
      <c r="A695" s="241" t="s">
        <v>541</v>
      </c>
      <c r="B695" s="490" t="s">
        <v>636</v>
      </c>
      <c r="C695" s="294"/>
      <c r="D695" s="294">
        <v>22</v>
      </c>
      <c r="E695" s="299">
        <f>SUM(E696:E707)</f>
        <v>183.70592500000001</v>
      </c>
      <c r="F695" s="369"/>
      <c r="G695" s="491">
        <f>SUM(G696:G707)</f>
        <v>5152846374</v>
      </c>
      <c r="H695" s="491">
        <f t="shared" ref="H695:K695" si="180">SUM(H696:H707)</f>
        <v>0</v>
      </c>
      <c r="I695" s="491">
        <f t="shared" si="180"/>
        <v>0</v>
      </c>
      <c r="J695" s="491"/>
      <c r="K695" s="491">
        <f t="shared" si="180"/>
        <v>5152846374</v>
      </c>
      <c r="L695" s="313"/>
    </row>
    <row r="696" spans="1:12" hidden="1" x14ac:dyDescent="0.25">
      <c r="A696" s="307" t="s">
        <v>287</v>
      </c>
      <c r="B696" s="315" t="s">
        <v>543</v>
      </c>
      <c r="C696" s="365" t="s">
        <v>526</v>
      </c>
      <c r="D696" s="365">
        <v>22</v>
      </c>
      <c r="E696" s="422">
        <v>67.79000000000002</v>
      </c>
      <c r="F696" s="312">
        <v>2340000</v>
      </c>
      <c r="G696" s="317">
        <f>E696*F696*12</f>
        <v>1903543200.0000007</v>
      </c>
      <c r="H696" s="317"/>
      <c r="I696" s="317"/>
      <c r="J696" s="317"/>
      <c r="K696" s="317">
        <f>G696-H696-I696</f>
        <v>1903543200.0000007</v>
      </c>
      <c r="L696" s="313"/>
    </row>
    <row r="697" spans="1:12" hidden="1" x14ac:dyDescent="0.25">
      <c r="A697" s="307" t="s">
        <v>287</v>
      </c>
      <c r="B697" s="315" t="s">
        <v>544</v>
      </c>
      <c r="C697" s="365" t="s">
        <v>526</v>
      </c>
      <c r="D697" s="365">
        <v>5</v>
      </c>
      <c r="E697" s="366">
        <v>1.25</v>
      </c>
      <c r="F697" s="312">
        <v>2340000</v>
      </c>
      <c r="G697" s="317">
        <f t="shared" ref="G697:G704" si="181">E697*F697*12</f>
        <v>35100000</v>
      </c>
      <c r="H697" s="317"/>
      <c r="I697" s="317"/>
      <c r="J697" s="317"/>
      <c r="K697" s="317">
        <f t="shared" ref="K697:K707" si="182">G697-H697-I697</f>
        <v>35100000</v>
      </c>
      <c r="L697" s="313"/>
    </row>
    <row r="698" spans="1:12" hidden="1" x14ac:dyDescent="0.25">
      <c r="A698" s="307" t="s">
        <v>287</v>
      </c>
      <c r="B698" s="315" t="s">
        <v>545</v>
      </c>
      <c r="C698" s="365" t="s">
        <v>526</v>
      </c>
      <c r="D698" s="365">
        <v>0</v>
      </c>
      <c r="E698" s="366"/>
      <c r="F698" s="312">
        <v>2340000</v>
      </c>
      <c r="G698" s="317">
        <f t="shared" si="181"/>
        <v>0</v>
      </c>
      <c r="H698" s="317"/>
      <c r="I698" s="317"/>
      <c r="J698" s="317"/>
      <c r="K698" s="317">
        <f t="shared" si="182"/>
        <v>0</v>
      </c>
      <c r="L698" s="313"/>
    </row>
    <row r="699" spans="1:12" hidden="1" x14ac:dyDescent="0.25">
      <c r="A699" s="307" t="s">
        <v>287</v>
      </c>
      <c r="B699" s="315" t="s">
        <v>546</v>
      </c>
      <c r="C699" s="365" t="s">
        <v>526</v>
      </c>
      <c r="D699" s="365">
        <v>22</v>
      </c>
      <c r="E699" s="366">
        <f>D699*0.7</f>
        <v>15.399999999999999</v>
      </c>
      <c r="F699" s="312">
        <v>2340000</v>
      </c>
      <c r="G699" s="317">
        <f t="shared" si="181"/>
        <v>432432000</v>
      </c>
      <c r="H699" s="317"/>
      <c r="I699" s="317"/>
      <c r="J699" s="317"/>
      <c r="K699" s="317">
        <f t="shared" si="182"/>
        <v>432432000</v>
      </c>
      <c r="L699" s="313"/>
    </row>
    <row r="700" spans="1:12" hidden="1" x14ac:dyDescent="0.25">
      <c r="A700" s="307" t="s">
        <v>287</v>
      </c>
      <c r="B700" s="315" t="s">
        <v>547</v>
      </c>
      <c r="C700" s="365" t="s">
        <v>526</v>
      </c>
      <c r="D700" s="365">
        <v>22</v>
      </c>
      <c r="E700" s="366">
        <v>6.9</v>
      </c>
      <c r="F700" s="312">
        <v>2340000</v>
      </c>
      <c r="G700" s="317">
        <f>E700*F700*12-0.3*2340000*8</f>
        <v>188136000</v>
      </c>
      <c r="H700" s="317"/>
      <c r="I700" s="317"/>
      <c r="J700" s="317"/>
      <c r="K700" s="317">
        <f t="shared" si="182"/>
        <v>188136000</v>
      </c>
      <c r="L700" s="313"/>
    </row>
    <row r="701" spans="1:12" hidden="1" x14ac:dyDescent="0.25">
      <c r="A701" s="307" t="s">
        <v>287</v>
      </c>
      <c r="B701" s="315" t="s">
        <v>548</v>
      </c>
      <c r="C701" s="365" t="s">
        <v>526</v>
      </c>
      <c r="D701" s="365">
        <v>7</v>
      </c>
      <c r="E701" s="366">
        <v>11.801999999999998</v>
      </c>
      <c r="F701" s="312">
        <v>2340000</v>
      </c>
      <c r="G701" s="317">
        <f t="shared" si="181"/>
        <v>331400159.99999994</v>
      </c>
      <c r="H701" s="317"/>
      <c r="I701" s="317"/>
      <c r="J701" s="317"/>
      <c r="K701" s="317">
        <f t="shared" si="182"/>
        <v>331400159.99999994</v>
      </c>
      <c r="L701" s="313"/>
    </row>
    <row r="702" spans="1:12" hidden="1" x14ac:dyDescent="0.25">
      <c r="A702" s="307" t="s">
        <v>287</v>
      </c>
      <c r="B702" s="315" t="s">
        <v>549</v>
      </c>
      <c r="C702" s="365" t="s">
        <v>526</v>
      </c>
      <c r="D702" s="365">
        <v>15</v>
      </c>
      <c r="E702" s="366">
        <f>10.1+0.3</f>
        <v>10.4</v>
      </c>
      <c r="F702" s="312">
        <v>2340000</v>
      </c>
      <c r="G702" s="317">
        <f t="shared" si="181"/>
        <v>292032000</v>
      </c>
      <c r="H702" s="317"/>
      <c r="I702" s="317"/>
      <c r="J702" s="317"/>
      <c r="K702" s="317">
        <f t="shared" si="182"/>
        <v>292032000</v>
      </c>
      <c r="L702" s="313"/>
    </row>
    <row r="703" spans="1:12" hidden="1" x14ac:dyDescent="0.25">
      <c r="A703" s="307" t="s">
        <v>287</v>
      </c>
      <c r="B703" s="315" t="s">
        <v>675</v>
      </c>
      <c r="C703" s="365" t="s">
        <v>526</v>
      </c>
      <c r="D703" s="365">
        <v>15</v>
      </c>
      <c r="E703" s="366">
        <f>5.49+0.265</f>
        <v>5.7549999999999999</v>
      </c>
      <c r="F703" s="312">
        <v>2340000</v>
      </c>
      <c r="G703" s="317">
        <f t="shared" si="181"/>
        <v>161600400</v>
      </c>
      <c r="H703" s="317"/>
      <c r="I703" s="317"/>
      <c r="J703" s="317"/>
      <c r="K703" s="317">
        <f t="shared" si="182"/>
        <v>161600400</v>
      </c>
      <c r="L703" s="313"/>
    </row>
    <row r="704" spans="1:12" hidden="1" x14ac:dyDescent="0.25">
      <c r="A704" s="307" t="s">
        <v>287</v>
      </c>
      <c r="B704" s="315" t="s">
        <v>768</v>
      </c>
      <c r="C704" s="365" t="s">
        <v>526</v>
      </c>
      <c r="D704" s="365">
        <v>0</v>
      </c>
      <c r="E704" s="366">
        <v>0</v>
      </c>
      <c r="F704" s="312">
        <v>2340000</v>
      </c>
      <c r="G704" s="317">
        <f t="shared" si="181"/>
        <v>0</v>
      </c>
      <c r="H704" s="317"/>
      <c r="I704" s="317"/>
      <c r="J704" s="317"/>
      <c r="K704" s="317">
        <f t="shared" si="182"/>
        <v>0</v>
      </c>
      <c r="L704" s="313"/>
    </row>
    <row r="705" spans="1:13" hidden="1" x14ac:dyDescent="0.25">
      <c r="A705" s="307" t="s">
        <v>287</v>
      </c>
      <c r="B705" s="315" t="s">
        <v>769</v>
      </c>
      <c r="C705" s="365" t="s">
        <v>526</v>
      </c>
      <c r="D705" s="365">
        <v>0</v>
      </c>
      <c r="E705" s="366">
        <v>0</v>
      </c>
      <c r="F705" s="312">
        <v>2340000</v>
      </c>
      <c r="G705" s="317">
        <f>E705*F705*9</f>
        <v>0</v>
      </c>
      <c r="H705" s="317"/>
      <c r="I705" s="317"/>
      <c r="J705" s="317"/>
      <c r="K705" s="317">
        <f t="shared" si="182"/>
        <v>0</v>
      </c>
      <c r="L705" s="313"/>
    </row>
    <row r="706" spans="1:13" hidden="1" x14ac:dyDescent="0.25">
      <c r="A706" s="307" t="s">
        <v>287</v>
      </c>
      <c r="B706" s="315" t="s">
        <v>742</v>
      </c>
      <c r="C706" s="365" t="s">
        <v>526</v>
      </c>
      <c r="D706" s="365">
        <v>22</v>
      </c>
      <c r="E706" s="366">
        <v>48.327999999999989</v>
      </c>
      <c r="F706" s="312">
        <v>2340000</v>
      </c>
      <c r="G706" s="317">
        <f t="shared" ref="G706:G707" si="183">E706*F706*12</f>
        <v>1357050239.9999995</v>
      </c>
      <c r="H706" s="317"/>
      <c r="I706" s="317"/>
      <c r="J706" s="317"/>
      <c r="K706" s="317">
        <f t="shared" si="182"/>
        <v>1357050239.9999995</v>
      </c>
      <c r="L706" s="313"/>
    </row>
    <row r="707" spans="1:13" hidden="1" x14ac:dyDescent="0.25">
      <c r="A707" s="307" t="s">
        <v>287</v>
      </c>
      <c r="B707" s="315" t="s">
        <v>676</v>
      </c>
      <c r="C707" s="365" t="s">
        <v>526</v>
      </c>
      <c r="D707" s="365">
        <v>22</v>
      </c>
      <c r="E707" s="366">
        <f>(E696+E697+E698+E703)*21.5%</f>
        <v>16.080925000000004</v>
      </c>
      <c r="F707" s="312">
        <v>2340000</v>
      </c>
      <c r="G707" s="317">
        <f t="shared" si="183"/>
        <v>451552374.00000012</v>
      </c>
      <c r="H707" s="317"/>
      <c r="I707" s="317"/>
      <c r="J707" s="317"/>
      <c r="K707" s="317">
        <f t="shared" si="182"/>
        <v>451552374.00000012</v>
      </c>
      <c r="L707" s="313"/>
    </row>
    <row r="708" spans="1:13" s="292" customFormat="1" ht="14.25" hidden="1" x14ac:dyDescent="0.25">
      <c r="A708" s="241" t="s">
        <v>74</v>
      </c>
      <c r="B708" s="384" t="s">
        <v>557</v>
      </c>
      <c r="C708" s="377"/>
      <c r="D708" s="377"/>
      <c r="E708" s="386"/>
      <c r="F708" s="369"/>
      <c r="G708" s="491">
        <f>G709</f>
        <v>180000000</v>
      </c>
      <c r="H708" s="491">
        <f t="shared" ref="H708:K708" si="184">H709</f>
        <v>0</v>
      </c>
      <c r="I708" s="491">
        <f t="shared" si="184"/>
        <v>0</v>
      </c>
      <c r="J708" s="491"/>
      <c r="K708" s="491">
        <f t="shared" si="184"/>
        <v>180000000</v>
      </c>
      <c r="L708" s="246"/>
    </row>
    <row r="709" spans="1:13" hidden="1" x14ac:dyDescent="0.25">
      <c r="A709" s="307" t="s">
        <v>287</v>
      </c>
      <c r="B709" s="315" t="s">
        <v>752</v>
      </c>
      <c r="C709" s="365" t="s">
        <v>526</v>
      </c>
      <c r="D709" s="365">
        <f>D694-D695</f>
        <v>2</v>
      </c>
      <c r="E709" s="366"/>
      <c r="F709" s="312">
        <v>10000000</v>
      </c>
      <c r="G709" s="317">
        <f>F709*9*D709</f>
        <v>180000000</v>
      </c>
      <c r="H709" s="317"/>
      <c r="I709" s="317"/>
      <c r="J709" s="317"/>
      <c r="K709" s="317">
        <f>G709</f>
        <v>180000000</v>
      </c>
      <c r="L709" s="313"/>
    </row>
    <row r="710" spans="1:13" ht="18.75" hidden="1" customHeight="1" x14ac:dyDescent="0.25">
      <c r="A710" s="241" t="s">
        <v>74</v>
      </c>
      <c r="B710" s="384" t="s">
        <v>591</v>
      </c>
      <c r="C710" s="367"/>
      <c r="D710" s="367"/>
      <c r="E710" s="368"/>
      <c r="F710" s="518"/>
      <c r="G710" s="519">
        <f>G711+G712</f>
        <v>401410134.00000012</v>
      </c>
      <c r="H710" s="519">
        <f t="shared" ref="H710:K710" si="185">H711+H712</f>
        <v>40140960.000000015</v>
      </c>
      <c r="I710" s="519">
        <f t="shared" si="185"/>
        <v>23550000</v>
      </c>
      <c r="J710" s="519">
        <f t="shared" si="185"/>
        <v>208494000</v>
      </c>
      <c r="K710" s="519">
        <f t="shared" si="185"/>
        <v>129225174.00000012</v>
      </c>
      <c r="L710" s="313"/>
    </row>
    <row r="711" spans="1:13" ht="18.75" hidden="1" customHeight="1" x14ac:dyDescent="0.25">
      <c r="A711" s="426" t="s">
        <v>287</v>
      </c>
      <c r="B711" s="315" t="s">
        <v>663</v>
      </c>
      <c r="C711" s="365" t="s">
        <v>526</v>
      </c>
      <c r="D711" s="319">
        <v>22</v>
      </c>
      <c r="E711" s="460">
        <f>E696+E697+E707+E698</f>
        <v>85.120925000000028</v>
      </c>
      <c r="F711" s="512" t="s">
        <v>730</v>
      </c>
      <c r="G711" s="317">
        <f>E711*1490000*12*20/80-0.75</f>
        <v>380490534.00000012</v>
      </c>
      <c r="H711" s="317">
        <f>G711*10%-53-0.4</f>
        <v>38049000.000000015</v>
      </c>
      <c r="I711" s="317">
        <f>18*710000+4*2340000+1410000</f>
        <v>23550000</v>
      </c>
      <c r="J711" s="317">
        <f>K721</f>
        <v>208494000</v>
      </c>
      <c r="K711" s="317">
        <f>G711-H711-I711-J711</f>
        <v>110397534.00000012</v>
      </c>
      <c r="L711" s="520"/>
      <c r="M711" s="242">
        <f>D711*0.2</f>
        <v>4.4000000000000004</v>
      </c>
    </row>
    <row r="712" spans="1:13" hidden="1" x14ac:dyDescent="0.25">
      <c r="A712" s="426" t="s">
        <v>287</v>
      </c>
      <c r="B712" s="315" t="s">
        <v>557</v>
      </c>
      <c r="C712" s="365" t="s">
        <v>526</v>
      </c>
      <c r="D712" s="320">
        <f>D694-D695</f>
        <v>2</v>
      </c>
      <c r="E712" s="460">
        <f>2.34*D712</f>
        <v>4.68</v>
      </c>
      <c r="F712" s="512" t="s">
        <v>730</v>
      </c>
      <c r="G712" s="317">
        <f>E712*1490000*12*20/80</f>
        <v>20919600</v>
      </c>
      <c r="H712" s="317">
        <f>G712*0.1</f>
        <v>2091960</v>
      </c>
      <c r="I712" s="317"/>
      <c r="J712" s="317"/>
      <c r="K712" s="317">
        <f>G712-H712-I712</f>
        <v>18827640</v>
      </c>
      <c r="L712" s="520"/>
    </row>
    <row r="713" spans="1:13" s="292" customFormat="1" ht="18.75" hidden="1" customHeight="1" x14ac:dyDescent="0.25">
      <c r="A713" s="241" t="s">
        <v>74</v>
      </c>
      <c r="B713" s="384" t="s">
        <v>744</v>
      </c>
      <c r="C713" s="377" t="s">
        <v>526</v>
      </c>
      <c r="D713" s="367">
        <v>22</v>
      </c>
      <c r="E713" s="521">
        <f>E696</f>
        <v>67.79000000000002</v>
      </c>
      <c r="F713" s="369">
        <f>2340000*10%</f>
        <v>234000</v>
      </c>
      <c r="G713" s="369">
        <f>F713*E713*12</f>
        <v>190354320.00000006</v>
      </c>
      <c r="H713" s="247"/>
      <c r="I713" s="247"/>
      <c r="J713" s="247"/>
      <c r="K713" s="247">
        <f>G713</f>
        <v>190354320.00000006</v>
      </c>
      <c r="L713" s="246"/>
    </row>
    <row r="714" spans="1:13" ht="18.75" hidden="1" customHeight="1" x14ac:dyDescent="0.25">
      <c r="A714" s="241" t="s">
        <v>74</v>
      </c>
      <c r="B714" s="384" t="s">
        <v>745</v>
      </c>
      <c r="C714" s="319"/>
      <c r="D714" s="319"/>
      <c r="E714" s="316"/>
      <c r="F714" s="312"/>
      <c r="G714" s="491">
        <f>G716+G715</f>
        <v>100000000</v>
      </c>
      <c r="H714" s="491">
        <f t="shared" ref="H714:K714" si="186">H716+H715</f>
        <v>0</v>
      </c>
      <c r="I714" s="491">
        <f t="shared" si="186"/>
        <v>0</v>
      </c>
      <c r="J714" s="491"/>
      <c r="K714" s="491">
        <f t="shared" si="186"/>
        <v>100000000</v>
      </c>
      <c r="L714" s="313"/>
    </row>
    <row r="715" spans="1:13" ht="18.75" hidden="1" customHeight="1" x14ac:dyDescent="0.25">
      <c r="A715" s="426" t="s">
        <v>287</v>
      </c>
      <c r="B715" s="529" t="s">
        <v>770</v>
      </c>
      <c r="C715" s="307" t="s">
        <v>762</v>
      </c>
      <c r="D715" s="319">
        <v>1</v>
      </c>
      <c r="E715" s="316"/>
      <c r="F715" s="312">
        <v>100000000</v>
      </c>
      <c r="G715" s="317">
        <f>F715*D715</f>
        <v>100000000</v>
      </c>
      <c r="H715" s="317"/>
      <c r="I715" s="317"/>
      <c r="J715" s="317"/>
      <c r="K715" s="317">
        <f>G715-H715-I715</f>
        <v>100000000</v>
      </c>
      <c r="L715" s="313"/>
    </row>
    <row r="716" spans="1:13" ht="33.75" hidden="1" customHeight="1" x14ac:dyDescent="0.25">
      <c r="A716" s="426" t="s">
        <v>287</v>
      </c>
      <c r="B716" s="529" t="s">
        <v>746</v>
      </c>
      <c r="C716" s="307" t="s">
        <v>732</v>
      </c>
      <c r="D716" s="319">
        <v>0</v>
      </c>
      <c r="E716" s="316"/>
      <c r="F716" s="312">
        <v>50000000</v>
      </c>
      <c r="G716" s="317">
        <f>D716*F716</f>
        <v>0</v>
      </c>
      <c r="H716" s="317"/>
      <c r="I716" s="317"/>
      <c r="J716" s="317"/>
      <c r="K716" s="317">
        <f>G716-H716-I716</f>
        <v>0</v>
      </c>
      <c r="L716" s="313"/>
    </row>
    <row r="717" spans="1:13" s="292" customFormat="1" ht="20.25" hidden="1" customHeight="1" x14ac:dyDescent="0.25">
      <c r="A717" s="522" t="s">
        <v>74</v>
      </c>
      <c r="B717" s="340" t="s">
        <v>733</v>
      </c>
      <c r="C717" s="367"/>
      <c r="D717" s="367"/>
      <c r="E717" s="523"/>
      <c r="F717" s="369"/>
      <c r="G717" s="518">
        <f>SUM(G718:G723)-G719</f>
        <v>4961878000</v>
      </c>
      <c r="H717" s="518">
        <f>SUM(H718:H723)-H719</f>
        <v>138996000</v>
      </c>
      <c r="I717" s="518">
        <f>SUM(I718:I723)-I719</f>
        <v>0</v>
      </c>
      <c r="J717" s="518"/>
      <c r="K717" s="518">
        <f>SUM(K718:K723)-K719</f>
        <v>4822882000</v>
      </c>
      <c r="L717" s="246"/>
    </row>
    <row r="718" spans="1:13" ht="32.25" hidden="1" customHeight="1" x14ac:dyDescent="0.25">
      <c r="A718" s="513" t="s">
        <v>287</v>
      </c>
      <c r="B718" s="325" t="s">
        <v>763</v>
      </c>
      <c r="C718" s="319"/>
      <c r="D718" s="319"/>
      <c r="E718" s="428"/>
      <c r="F718" s="312"/>
      <c r="G718" s="444">
        <v>419000000</v>
      </c>
      <c r="H718" s="312"/>
      <c r="I718" s="312"/>
      <c r="J718" s="312"/>
      <c r="K718" s="317">
        <f t="shared" ref="K718" si="187">G718-H718-I718</f>
        <v>419000000</v>
      </c>
      <c r="L718" s="313"/>
    </row>
    <row r="719" spans="1:13" ht="20.25" hidden="1" customHeight="1" x14ac:dyDescent="0.25">
      <c r="A719" s="513" t="s">
        <v>287</v>
      </c>
      <c r="B719" s="325" t="s">
        <v>613</v>
      </c>
      <c r="C719" s="319"/>
      <c r="D719" s="319"/>
      <c r="E719" s="428"/>
      <c r="F719" s="312"/>
      <c r="G719" s="444">
        <f>G720+G721</f>
        <v>879990000</v>
      </c>
      <c r="H719" s="444">
        <f>H720+H721</f>
        <v>138996000</v>
      </c>
      <c r="I719" s="312"/>
      <c r="J719" s="312"/>
      <c r="K719" s="444">
        <f>K720+K721</f>
        <v>740994000</v>
      </c>
      <c r="L719" s="313"/>
    </row>
    <row r="720" spans="1:13" s="259" customFormat="1" ht="20.25" hidden="1" customHeight="1" x14ac:dyDescent="0.25">
      <c r="A720" s="515"/>
      <c r="B720" s="326" t="s">
        <v>737</v>
      </c>
      <c r="C720" s="477"/>
      <c r="D720" s="477"/>
      <c r="E720" s="430"/>
      <c r="F720" s="330"/>
      <c r="G720" s="516">
        <v>532500000</v>
      </c>
      <c r="H720" s="330"/>
      <c r="I720" s="330"/>
      <c r="J720" s="330"/>
      <c r="K720" s="516">
        <f>G720-H720-I720</f>
        <v>532500000</v>
      </c>
      <c r="L720" s="331"/>
    </row>
    <row r="721" spans="1:15" s="259" customFormat="1" ht="20.25" hidden="1" customHeight="1" x14ac:dyDescent="0.25">
      <c r="A721" s="515"/>
      <c r="B721" s="326" t="s">
        <v>738</v>
      </c>
      <c r="C721" s="477"/>
      <c r="D721" s="477"/>
      <c r="E721" s="430"/>
      <c r="F721" s="330"/>
      <c r="G721" s="516">
        <v>347490000</v>
      </c>
      <c r="H721" s="330">
        <f>G721*0.4</f>
        <v>138996000</v>
      </c>
      <c r="I721" s="330"/>
      <c r="J721" s="330"/>
      <c r="K721" s="516">
        <f>G721-H721-I721</f>
        <v>208494000</v>
      </c>
      <c r="L721" s="331"/>
    </row>
    <row r="722" spans="1:15" ht="36.75" hidden="1" customHeight="1" x14ac:dyDescent="0.25">
      <c r="A722" s="513" t="s">
        <v>287</v>
      </c>
      <c r="B722" s="325" t="s">
        <v>764</v>
      </c>
      <c r="C722" s="319"/>
      <c r="D722" s="319"/>
      <c r="E722" s="428"/>
      <c r="F722" s="312"/>
      <c r="G722" s="444">
        <v>240000000</v>
      </c>
      <c r="H722" s="312"/>
      <c r="I722" s="312"/>
      <c r="J722" s="312"/>
      <c r="K722" s="317">
        <f>G722-H722-I722</f>
        <v>240000000</v>
      </c>
      <c r="L722" s="313"/>
    </row>
    <row r="723" spans="1:15" ht="36.75" hidden="1" customHeight="1" x14ac:dyDescent="0.25">
      <c r="A723" s="513" t="s">
        <v>287</v>
      </c>
      <c r="B723" s="325" t="s">
        <v>740</v>
      </c>
      <c r="C723" s="319"/>
      <c r="D723" s="319"/>
      <c r="E723" s="428"/>
      <c r="F723" s="312"/>
      <c r="G723" s="444">
        <v>3422888000</v>
      </c>
      <c r="H723" s="312"/>
      <c r="I723" s="312"/>
      <c r="J723" s="312"/>
      <c r="K723" s="317">
        <f>G723-H723-I723</f>
        <v>3422888000</v>
      </c>
      <c r="L723" s="313"/>
    </row>
    <row r="724" spans="1:15" s="676" customFormat="1" ht="24" customHeight="1" x14ac:dyDescent="0.25">
      <c r="A724" s="670" t="s">
        <v>783</v>
      </c>
      <c r="B724" s="671" t="s">
        <v>784</v>
      </c>
      <c r="C724" s="672" t="s">
        <v>526</v>
      </c>
      <c r="D724" s="672">
        <v>21</v>
      </c>
      <c r="E724" s="673"/>
      <c r="F724" s="674"/>
      <c r="G724" s="674">
        <f>SUM(G725:G730)</f>
        <v>9149459924.1599998</v>
      </c>
      <c r="H724" s="674">
        <f t="shared" ref="H724:K724" si="188">SUM(H725:H730)</f>
        <v>145504000</v>
      </c>
      <c r="I724" s="674">
        <f t="shared" si="188"/>
        <v>22840000</v>
      </c>
      <c r="J724" s="674">
        <f t="shared" si="188"/>
        <v>158193000</v>
      </c>
      <c r="K724" s="674">
        <f t="shared" si="188"/>
        <v>8822922000</v>
      </c>
      <c r="L724" s="675"/>
      <c r="N724" s="677">
        <f>N725+N726</f>
        <v>8822922000</v>
      </c>
      <c r="O724" s="677">
        <f>K724-N724</f>
        <v>0</v>
      </c>
    </row>
    <row r="725" spans="1:15" ht="22.5" customHeight="1" x14ac:dyDescent="0.25">
      <c r="A725" s="307" t="s">
        <v>576</v>
      </c>
      <c r="B725" s="412" t="s">
        <v>527</v>
      </c>
      <c r="C725" s="319" t="s">
        <v>526</v>
      </c>
      <c r="D725" s="320">
        <f>D738</f>
        <v>20</v>
      </c>
      <c r="E725" s="419">
        <f>E738</f>
        <v>186.051502</v>
      </c>
      <c r="F725" s="312"/>
      <c r="G725" s="444">
        <f>G738</f>
        <v>5224326176.1599998</v>
      </c>
      <c r="H725" s="312"/>
      <c r="I725" s="312"/>
      <c r="J725" s="312"/>
      <c r="K725" s="317">
        <f>ROUND(G725-H725-I725-J725,-3)</f>
        <v>5224326000</v>
      </c>
      <c r="L725" s="313"/>
      <c r="M725" s="242" t="s">
        <v>893</v>
      </c>
      <c r="N725" s="293">
        <f>K725+K726+K727+K729</f>
        <v>5688178000</v>
      </c>
    </row>
    <row r="726" spans="1:15" ht="22.5" customHeight="1" x14ac:dyDescent="0.25">
      <c r="A726" s="307" t="s">
        <v>583</v>
      </c>
      <c r="B726" s="412" t="s">
        <v>729</v>
      </c>
      <c r="C726" s="365" t="s">
        <v>526</v>
      </c>
      <c r="D726" s="320">
        <f>D725</f>
        <v>20</v>
      </c>
      <c r="E726" s="460">
        <f>E754</f>
        <v>87.239701999999994</v>
      </c>
      <c r="F726" s="512" t="s">
        <v>730</v>
      </c>
      <c r="G726" s="317">
        <f>E726*1490000*12*20/80+0.06</f>
        <v>389961467.99999994</v>
      </c>
      <c r="H726" s="317">
        <f>ROUND(G726*10%,-3)</f>
        <v>38996000</v>
      </c>
      <c r="I726" s="317">
        <f>17*710000+4*2340000+1410000</f>
        <v>22840000</v>
      </c>
      <c r="J726" s="317">
        <f>K734</f>
        <v>158193000</v>
      </c>
      <c r="K726" s="317">
        <f>ROUND(G726-H726-I726-J726,-3)</f>
        <v>169932000</v>
      </c>
      <c r="L726" s="313"/>
      <c r="M726" s="242" t="s">
        <v>894</v>
      </c>
      <c r="N726" s="293">
        <f>K728+K730</f>
        <v>3134744000</v>
      </c>
    </row>
    <row r="727" spans="1:15" ht="34.5" customHeight="1" x14ac:dyDescent="0.25">
      <c r="A727" s="513" t="s">
        <v>585</v>
      </c>
      <c r="B727" s="325" t="s">
        <v>573</v>
      </c>
      <c r="C727" s="319" t="s">
        <v>526</v>
      </c>
      <c r="D727" s="320">
        <f>D726</f>
        <v>20</v>
      </c>
      <c r="E727" s="514">
        <f>E756</f>
        <v>69.06</v>
      </c>
      <c r="F727" s="312">
        <v>234000</v>
      </c>
      <c r="G727" s="312">
        <f>F727*E727*12</f>
        <v>193920480</v>
      </c>
      <c r="H727" s="312"/>
      <c r="I727" s="312"/>
      <c r="J727" s="312"/>
      <c r="K727" s="444">
        <f>G727-480</f>
        <v>193920000</v>
      </c>
      <c r="L727" s="313"/>
    </row>
    <row r="728" spans="1:15" ht="34.5" customHeight="1" x14ac:dyDescent="0.25">
      <c r="A728" s="513" t="s">
        <v>587</v>
      </c>
      <c r="B728" s="325" t="s">
        <v>749</v>
      </c>
      <c r="C728" s="319" t="s">
        <v>526</v>
      </c>
      <c r="D728" s="324">
        <f>D752</f>
        <v>1</v>
      </c>
      <c r="E728" s="514"/>
      <c r="F728" s="312"/>
      <c r="G728" s="312">
        <f>G751+G755</f>
        <v>100459800</v>
      </c>
      <c r="H728" s="312">
        <f>ROUND(H751+H755,-3)</f>
        <v>1046000</v>
      </c>
      <c r="I728" s="312">
        <f t="shared" ref="I728" si="189">I751+I755</f>
        <v>0</v>
      </c>
      <c r="J728" s="312"/>
      <c r="K728" s="317">
        <f>ROUND(G728-H728-I728-J728,-3)</f>
        <v>99414000</v>
      </c>
      <c r="L728" s="313"/>
      <c r="M728" s="242" t="s">
        <v>750</v>
      </c>
    </row>
    <row r="729" spans="1:15" ht="24" customHeight="1" x14ac:dyDescent="0.25">
      <c r="A729" s="513" t="s">
        <v>595</v>
      </c>
      <c r="B729" s="529" t="s">
        <v>761</v>
      </c>
      <c r="C729" s="307" t="s">
        <v>762</v>
      </c>
      <c r="D729" s="319">
        <v>1</v>
      </c>
      <c r="E729" s="316"/>
      <c r="F729" s="312">
        <v>100000000</v>
      </c>
      <c r="G729" s="317">
        <f>F729*D729</f>
        <v>100000000</v>
      </c>
      <c r="H729" s="317"/>
      <c r="I729" s="317"/>
      <c r="J729" s="317"/>
      <c r="K729" s="317">
        <f>G729-H729-I729</f>
        <v>100000000</v>
      </c>
      <c r="L729" s="313"/>
    </row>
    <row r="730" spans="1:15" ht="24" customHeight="1" x14ac:dyDescent="0.25">
      <c r="A730" s="307" t="s">
        <v>611</v>
      </c>
      <c r="B730" s="325" t="s">
        <v>733</v>
      </c>
      <c r="C730" s="309"/>
      <c r="D730" s="309"/>
      <c r="E730" s="419"/>
      <c r="F730" s="312"/>
      <c r="G730" s="323">
        <f>SUM(G731:G736)-G732</f>
        <v>3140792000</v>
      </c>
      <c r="H730" s="323">
        <f t="shared" ref="H730" si="190">SUM(H731:H736)-H732</f>
        <v>105462000</v>
      </c>
      <c r="I730" s="323">
        <f t="shared" ref="I730" si="191">SUM(I731:I736)-I732</f>
        <v>0</v>
      </c>
      <c r="J730" s="323"/>
      <c r="K730" s="323">
        <f t="shared" ref="K730" si="192">SUM(K731:K736)-K732</f>
        <v>3035330000</v>
      </c>
      <c r="L730" s="313"/>
    </row>
    <row r="731" spans="1:15" ht="36.75" customHeight="1" x14ac:dyDescent="0.25">
      <c r="A731" s="307" t="s">
        <v>287</v>
      </c>
      <c r="B731" s="325" t="s">
        <v>763</v>
      </c>
      <c r="C731" s="309"/>
      <c r="D731" s="309"/>
      <c r="E731" s="419"/>
      <c r="F731" s="312"/>
      <c r="G731" s="323">
        <f>G761</f>
        <v>71392000</v>
      </c>
      <c r="H731" s="312"/>
      <c r="I731" s="312"/>
      <c r="J731" s="312"/>
      <c r="K731" s="323">
        <f>G731-H731-I731</f>
        <v>71392000</v>
      </c>
      <c r="L731" s="313"/>
    </row>
    <row r="732" spans="1:15" ht="21.75" customHeight="1" x14ac:dyDescent="0.25">
      <c r="A732" s="307" t="s">
        <v>287</v>
      </c>
      <c r="B732" s="325" t="s">
        <v>613</v>
      </c>
      <c r="C732" s="309"/>
      <c r="D732" s="309"/>
      <c r="E732" s="419"/>
      <c r="F732" s="312"/>
      <c r="G732" s="323">
        <f>G733+G734</f>
        <v>688905000</v>
      </c>
      <c r="H732" s="323">
        <f t="shared" ref="H732:K732" si="193">H733+H734</f>
        <v>105462000</v>
      </c>
      <c r="I732" s="323">
        <f t="shared" si="193"/>
        <v>0</v>
      </c>
      <c r="J732" s="323"/>
      <c r="K732" s="323">
        <f t="shared" si="193"/>
        <v>583443000</v>
      </c>
      <c r="L732" s="313"/>
    </row>
    <row r="733" spans="1:15" ht="21.75" customHeight="1" x14ac:dyDescent="0.25">
      <c r="A733" s="307" t="s">
        <v>74</v>
      </c>
      <c r="B733" s="326" t="s">
        <v>737</v>
      </c>
      <c r="C733" s="309"/>
      <c r="D733" s="309"/>
      <c r="E733" s="419"/>
      <c r="F733" s="312"/>
      <c r="G733" s="329">
        <f>G763</f>
        <v>425250000</v>
      </c>
      <c r="H733" s="329"/>
      <c r="I733" s="330"/>
      <c r="J733" s="330"/>
      <c r="K733" s="329">
        <f t="shared" ref="K733:K736" si="194">G733-H733-I733</f>
        <v>425250000</v>
      </c>
      <c r="L733" s="313"/>
    </row>
    <row r="734" spans="1:15" ht="21.75" customHeight="1" x14ac:dyDescent="0.25">
      <c r="A734" s="307" t="s">
        <v>74</v>
      </c>
      <c r="B734" s="326" t="s">
        <v>738</v>
      </c>
      <c r="C734" s="309"/>
      <c r="D734" s="309"/>
      <c r="E734" s="419"/>
      <c r="F734" s="312"/>
      <c r="G734" s="329">
        <f>G764</f>
        <v>263655000</v>
      </c>
      <c r="H734" s="329">
        <f>G734*0.4</f>
        <v>105462000</v>
      </c>
      <c r="I734" s="330"/>
      <c r="J734" s="330"/>
      <c r="K734" s="329">
        <f t="shared" si="194"/>
        <v>158193000</v>
      </c>
      <c r="L734" s="313"/>
    </row>
    <row r="735" spans="1:15" ht="36" customHeight="1" x14ac:dyDescent="0.25">
      <c r="A735" s="307" t="s">
        <v>287</v>
      </c>
      <c r="B735" s="325" t="s">
        <v>764</v>
      </c>
      <c r="C735" s="309"/>
      <c r="D735" s="309"/>
      <c r="E735" s="419"/>
      <c r="F735" s="312"/>
      <c r="G735" s="323">
        <f>G765</f>
        <v>60000000</v>
      </c>
      <c r="H735" s="312"/>
      <c r="I735" s="312"/>
      <c r="J735" s="312"/>
      <c r="K735" s="323">
        <f t="shared" si="194"/>
        <v>60000000</v>
      </c>
      <c r="L735" s="313"/>
    </row>
    <row r="736" spans="1:15" ht="36" customHeight="1" x14ac:dyDescent="0.25">
      <c r="A736" s="307" t="s">
        <v>287</v>
      </c>
      <c r="B736" s="325" t="s">
        <v>740</v>
      </c>
      <c r="C736" s="309"/>
      <c r="D736" s="309"/>
      <c r="E736" s="419"/>
      <c r="F736" s="312"/>
      <c r="G736" s="323">
        <f t="shared" ref="G736" si="195">G766</f>
        <v>2320495000</v>
      </c>
      <c r="H736" s="312"/>
      <c r="I736" s="312"/>
      <c r="J736" s="312"/>
      <c r="K736" s="323">
        <f t="shared" si="194"/>
        <v>2320495000</v>
      </c>
      <c r="L736" s="313"/>
    </row>
    <row r="737" spans="1:12" s="489" customFormat="1" ht="18.75" hidden="1" customHeight="1" x14ac:dyDescent="0.25">
      <c r="A737" s="333"/>
      <c r="B737" s="481" t="s">
        <v>785</v>
      </c>
      <c r="C737" s="482"/>
      <c r="D737" s="483">
        <v>21</v>
      </c>
      <c r="E737" s="484"/>
      <c r="F737" s="337"/>
      <c r="G737" s="486">
        <f>G738+G753+G756+G757+G760+G751</f>
        <v>9149459923.6100006</v>
      </c>
      <c r="H737" s="486">
        <f t="shared" ref="H737:K737" si="196">H738+H753+H756+H757+H760+H751</f>
        <v>145504182.745</v>
      </c>
      <c r="I737" s="486">
        <f t="shared" si="196"/>
        <v>22840000</v>
      </c>
      <c r="J737" s="486">
        <f t="shared" si="196"/>
        <v>158193000</v>
      </c>
      <c r="K737" s="486">
        <f t="shared" si="196"/>
        <v>8822922740.8649998</v>
      </c>
      <c r="L737" s="517"/>
    </row>
    <row r="738" spans="1:12" hidden="1" x14ac:dyDescent="0.25">
      <c r="A738" s="241" t="s">
        <v>541</v>
      </c>
      <c r="B738" s="490" t="s">
        <v>636</v>
      </c>
      <c r="C738" s="294"/>
      <c r="D738" s="294">
        <f>21-1</f>
        <v>20</v>
      </c>
      <c r="E738" s="299">
        <f>SUM(E739:E750)</f>
        <v>186.051502</v>
      </c>
      <c r="F738" s="369"/>
      <c r="G738" s="491">
        <f>SUM(G739:G750)</f>
        <v>5224326176.1599998</v>
      </c>
      <c r="H738" s="491">
        <f t="shared" ref="H738:K738" si="197">SUM(H739:H750)</f>
        <v>0</v>
      </c>
      <c r="I738" s="491">
        <f t="shared" si="197"/>
        <v>0</v>
      </c>
      <c r="J738" s="491"/>
      <c r="K738" s="491">
        <f t="shared" si="197"/>
        <v>5224326176.1599998</v>
      </c>
      <c r="L738" s="313"/>
    </row>
    <row r="739" spans="1:12" hidden="1" x14ac:dyDescent="0.25">
      <c r="A739" s="307" t="s">
        <v>287</v>
      </c>
      <c r="B739" s="315" t="s">
        <v>543</v>
      </c>
      <c r="C739" s="365" t="s">
        <v>526</v>
      </c>
      <c r="D739" s="365">
        <f>21-1</f>
        <v>20</v>
      </c>
      <c r="E739" s="422">
        <f>72.86+0.2-4</f>
        <v>69.06</v>
      </c>
      <c r="F739" s="312">
        <v>2340000</v>
      </c>
      <c r="G739" s="317">
        <f>E739*F739*12</f>
        <v>1939204800</v>
      </c>
      <c r="H739" s="317"/>
      <c r="I739" s="317"/>
      <c r="J739" s="317"/>
      <c r="K739" s="317">
        <f>G739-H739-I739</f>
        <v>1939204800</v>
      </c>
      <c r="L739" s="313"/>
    </row>
    <row r="740" spans="1:12" hidden="1" x14ac:dyDescent="0.25">
      <c r="A740" s="307" t="s">
        <v>287</v>
      </c>
      <c r="B740" s="315" t="s">
        <v>544</v>
      </c>
      <c r="C740" s="365" t="s">
        <v>526</v>
      </c>
      <c r="D740" s="365">
        <f>6-1</f>
        <v>5</v>
      </c>
      <c r="E740" s="366">
        <f>1.7-0.45</f>
        <v>1.25</v>
      </c>
      <c r="F740" s="312">
        <v>2340000</v>
      </c>
      <c r="G740" s="317">
        <f t="shared" ref="G740:G742" si="198">E740*F740*12</f>
        <v>35100000</v>
      </c>
      <c r="H740" s="317"/>
      <c r="I740" s="317"/>
      <c r="J740" s="317"/>
      <c r="K740" s="317">
        <f t="shared" ref="K740:K750" si="199">G740-H740-I740</f>
        <v>35100000</v>
      </c>
      <c r="L740" s="313"/>
    </row>
    <row r="741" spans="1:12" hidden="1" x14ac:dyDescent="0.25">
      <c r="A741" s="307" t="s">
        <v>287</v>
      </c>
      <c r="B741" s="315" t="s">
        <v>545</v>
      </c>
      <c r="C741" s="365" t="s">
        <v>526</v>
      </c>
      <c r="D741" s="365">
        <v>0</v>
      </c>
      <c r="E741" s="366"/>
      <c r="F741" s="312">
        <v>2340000</v>
      </c>
      <c r="G741" s="317">
        <f t="shared" si="198"/>
        <v>0</v>
      </c>
      <c r="H741" s="317"/>
      <c r="I741" s="317"/>
      <c r="J741" s="317"/>
      <c r="K741" s="317">
        <f t="shared" si="199"/>
        <v>0</v>
      </c>
      <c r="L741" s="313"/>
    </row>
    <row r="742" spans="1:12" hidden="1" x14ac:dyDescent="0.25">
      <c r="A742" s="307" t="s">
        <v>287</v>
      </c>
      <c r="B742" s="315" t="s">
        <v>546</v>
      </c>
      <c r="C742" s="365" t="s">
        <v>526</v>
      </c>
      <c r="D742" s="365">
        <f>21-1</f>
        <v>20</v>
      </c>
      <c r="E742" s="366">
        <f>D742*0.7</f>
        <v>14</v>
      </c>
      <c r="F742" s="312">
        <v>2340000</v>
      </c>
      <c r="G742" s="317">
        <f t="shared" si="198"/>
        <v>393120000</v>
      </c>
      <c r="H742" s="317"/>
      <c r="I742" s="317"/>
      <c r="J742" s="317"/>
      <c r="K742" s="317">
        <f t="shared" si="199"/>
        <v>393120000</v>
      </c>
      <c r="L742" s="313"/>
    </row>
    <row r="743" spans="1:12" hidden="1" x14ac:dyDescent="0.25">
      <c r="A743" s="307" t="s">
        <v>287</v>
      </c>
      <c r="B743" s="315" t="s">
        <v>547</v>
      </c>
      <c r="C743" s="365" t="s">
        <v>526</v>
      </c>
      <c r="D743" s="365">
        <f>20-1</f>
        <v>19</v>
      </c>
      <c r="E743" s="366">
        <f>6-0.3</f>
        <v>5.7</v>
      </c>
      <c r="F743" s="312">
        <v>2340000</v>
      </c>
      <c r="G743" s="317">
        <f>E743*F743*12</f>
        <v>160056000</v>
      </c>
      <c r="H743" s="317"/>
      <c r="I743" s="317"/>
      <c r="J743" s="317"/>
      <c r="K743" s="317">
        <f t="shared" si="199"/>
        <v>160056000</v>
      </c>
      <c r="L743" s="313"/>
    </row>
    <row r="744" spans="1:12" hidden="1" x14ac:dyDescent="0.25">
      <c r="A744" s="307" t="s">
        <v>287</v>
      </c>
      <c r="B744" s="315" t="s">
        <v>548</v>
      </c>
      <c r="C744" s="365" t="s">
        <v>526</v>
      </c>
      <c r="D744" s="365">
        <v>6</v>
      </c>
      <c r="E744" s="366">
        <f>11.452+0.14</f>
        <v>11.592000000000001</v>
      </c>
      <c r="F744" s="312">
        <v>2340000</v>
      </c>
      <c r="G744" s="317">
        <f t="shared" ref="G744:G747" si="200">E744*F744*12</f>
        <v>325503360</v>
      </c>
      <c r="H744" s="317"/>
      <c r="I744" s="317"/>
      <c r="J744" s="317"/>
      <c r="K744" s="317">
        <f t="shared" si="199"/>
        <v>325503360</v>
      </c>
      <c r="L744" s="313"/>
    </row>
    <row r="745" spans="1:12" hidden="1" x14ac:dyDescent="0.25">
      <c r="A745" s="307" t="s">
        <v>287</v>
      </c>
      <c r="B745" s="315" t="s">
        <v>549</v>
      </c>
      <c r="C745" s="365" t="s">
        <v>526</v>
      </c>
      <c r="D745" s="365">
        <f>15-1</f>
        <v>14</v>
      </c>
      <c r="E745" s="366">
        <f>11.9-1</f>
        <v>10.9</v>
      </c>
      <c r="F745" s="312">
        <v>2340000</v>
      </c>
      <c r="G745" s="317">
        <f t="shared" si="200"/>
        <v>306072000</v>
      </c>
      <c r="H745" s="317"/>
      <c r="I745" s="317"/>
      <c r="J745" s="317"/>
      <c r="K745" s="317">
        <f t="shared" si="199"/>
        <v>306072000</v>
      </c>
      <c r="L745" s="313"/>
    </row>
    <row r="746" spans="1:12" hidden="1" x14ac:dyDescent="0.25">
      <c r="A746" s="307" t="s">
        <v>287</v>
      </c>
      <c r="B746" s="315" t="s">
        <v>675</v>
      </c>
      <c r="C746" s="365" t="s">
        <v>526</v>
      </c>
      <c r="D746" s="365">
        <f>18-1</f>
        <v>17</v>
      </c>
      <c r="E746" s="366">
        <f>9.1938+0.04-0.801</f>
        <v>8.4327999999999985</v>
      </c>
      <c r="F746" s="312">
        <v>2340000</v>
      </c>
      <c r="G746" s="317">
        <f t="shared" si="200"/>
        <v>236793023.99999994</v>
      </c>
      <c r="H746" s="317"/>
      <c r="I746" s="317"/>
      <c r="J746" s="317"/>
      <c r="K746" s="317">
        <f t="shared" si="199"/>
        <v>236793023.99999994</v>
      </c>
      <c r="L746" s="313"/>
    </row>
    <row r="747" spans="1:12" hidden="1" x14ac:dyDescent="0.25">
      <c r="A747" s="307" t="s">
        <v>287</v>
      </c>
      <c r="B747" s="315" t="s">
        <v>768</v>
      </c>
      <c r="C747" s="365" t="s">
        <v>526</v>
      </c>
      <c r="D747" s="365">
        <v>0</v>
      </c>
      <c r="E747" s="366">
        <v>0</v>
      </c>
      <c r="F747" s="312">
        <v>2340000</v>
      </c>
      <c r="G747" s="317">
        <f t="shared" si="200"/>
        <v>0</v>
      </c>
      <c r="H747" s="317"/>
      <c r="I747" s="317"/>
      <c r="J747" s="317"/>
      <c r="K747" s="317">
        <f t="shared" si="199"/>
        <v>0</v>
      </c>
      <c r="L747" s="313"/>
    </row>
    <row r="748" spans="1:12" hidden="1" x14ac:dyDescent="0.25">
      <c r="A748" s="307" t="s">
        <v>287</v>
      </c>
      <c r="B748" s="315" t="s">
        <v>769</v>
      </c>
      <c r="C748" s="365" t="s">
        <v>526</v>
      </c>
      <c r="D748" s="365">
        <v>0</v>
      </c>
      <c r="E748" s="366">
        <v>0</v>
      </c>
      <c r="F748" s="312">
        <v>2340000</v>
      </c>
      <c r="G748" s="317">
        <f>E748*F748*9</f>
        <v>0</v>
      </c>
      <c r="H748" s="317"/>
      <c r="I748" s="317"/>
      <c r="J748" s="317"/>
      <c r="K748" s="317">
        <f t="shared" si="199"/>
        <v>0</v>
      </c>
      <c r="L748" s="313"/>
    </row>
    <row r="749" spans="1:12" hidden="1" x14ac:dyDescent="0.25">
      <c r="A749" s="307" t="s">
        <v>287</v>
      </c>
      <c r="B749" s="315" t="s">
        <v>742</v>
      </c>
      <c r="C749" s="365" t="s">
        <v>526</v>
      </c>
      <c r="D749" s="365">
        <f>21-1</f>
        <v>20</v>
      </c>
      <c r="E749" s="366">
        <f>51.262+0.04-3.115</f>
        <v>48.186999999999998</v>
      </c>
      <c r="F749" s="312">
        <v>2340000</v>
      </c>
      <c r="G749" s="317">
        <f t="shared" ref="G749:G750" si="201">E749*F749*12</f>
        <v>1353090960</v>
      </c>
      <c r="H749" s="317"/>
      <c r="I749" s="317"/>
      <c r="J749" s="317"/>
      <c r="K749" s="317">
        <f t="shared" si="199"/>
        <v>1353090960</v>
      </c>
      <c r="L749" s="313"/>
    </row>
    <row r="750" spans="1:12" hidden="1" x14ac:dyDescent="0.25">
      <c r="A750" s="307" t="s">
        <v>287</v>
      </c>
      <c r="B750" s="315" t="s">
        <v>676</v>
      </c>
      <c r="C750" s="365" t="s">
        <v>526</v>
      </c>
      <c r="D750" s="365">
        <f>21-1</f>
        <v>20</v>
      </c>
      <c r="E750" s="366">
        <f>(E739+E740+E741+E746)*21.5%</f>
        <v>16.929701999999999</v>
      </c>
      <c r="F750" s="312">
        <v>2340000</v>
      </c>
      <c r="G750" s="317">
        <f t="shared" si="201"/>
        <v>475386032.15999997</v>
      </c>
      <c r="H750" s="317"/>
      <c r="I750" s="317"/>
      <c r="J750" s="317"/>
      <c r="K750" s="317">
        <f t="shared" si="199"/>
        <v>475386032.15999997</v>
      </c>
      <c r="L750" s="313"/>
    </row>
    <row r="751" spans="1:12" s="292" customFormat="1" ht="18" hidden="1" customHeight="1" x14ac:dyDescent="0.25">
      <c r="A751" s="241" t="s">
        <v>74</v>
      </c>
      <c r="B751" s="384" t="s">
        <v>557</v>
      </c>
      <c r="C751" s="377"/>
      <c r="D751" s="377"/>
      <c r="E751" s="386"/>
      <c r="F751" s="369"/>
      <c r="G751" s="491">
        <f>G752</f>
        <v>90000000</v>
      </c>
      <c r="H751" s="491">
        <f t="shared" ref="H751:K751" si="202">H752</f>
        <v>0</v>
      </c>
      <c r="I751" s="491">
        <f t="shared" si="202"/>
        <v>0</v>
      </c>
      <c r="J751" s="491"/>
      <c r="K751" s="491">
        <f t="shared" si="202"/>
        <v>90000000</v>
      </c>
      <c r="L751" s="246"/>
    </row>
    <row r="752" spans="1:12" ht="18" hidden="1" customHeight="1" x14ac:dyDescent="0.25">
      <c r="A752" s="307" t="s">
        <v>287</v>
      </c>
      <c r="B752" s="315" t="s">
        <v>752</v>
      </c>
      <c r="C752" s="365" t="s">
        <v>526</v>
      </c>
      <c r="D752" s="365">
        <f>D737-D738</f>
        <v>1</v>
      </c>
      <c r="E752" s="366"/>
      <c r="F752" s="312">
        <v>10000000</v>
      </c>
      <c r="G752" s="317">
        <f>F752*9*D752</f>
        <v>90000000</v>
      </c>
      <c r="H752" s="317"/>
      <c r="I752" s="317"/>
      <c r="J752" s="317"/>
      <c r="K752" s="317">
        <f>G752</f>
        <v>90000000</v>
      </c>
      <c r="L752" s="313"/>
    </row>
    <row r="753" spans="1:15" ht="18.75" hidden="1" customHeight="1" x14ac:dyDescent="0.25">
      <c r="A753" s="241" t="s">
        <v>74</v>
      </c>
      <c r="B753" s="384" t="s">
        <v>591</v>
      </c>
      <c r="C753" s="367"/>
      <c r="D753" s="367"/>
      <c r="E753" s="368"/>
      <c r="F753" s="518"/>
      <c r="G753" s="519">
        <f>G754+G755</f>
        <v>400421267.44999993</v>
      </c>
      <c r="H753" s="519">
        <f t="shared" ref="H753:K753" si="203">H754+H755</f>
        <v>40042182.744999997</v>
      </c>
      <c r="I753" s="519">
        <f t="shared" si="203"/>
        <v>22840000</v>
      </c>
      <c r="J753" s="519">
        <f t="shared" si="203"/>
        <v>158193000</v>
      </c>
      <c r="K753" s="519">
        <f t="shared" si="203"/>
        <v>179346084.70499992</v>
      </c>
      <c r="L753" s="313"/>
    </row>
    <row r="754" spans="1:15" ht="20.25" hidden="1" customHeight="1" x14ac:dyDescent="0.25">
      <c r="A754" s="426" t="s">
        <v>287</v>
      </c>
      <c r="B754" s="315" t="s">
        <v>663</v>
      </c>
      <c r="C754" s="365" t="s">
        <v>526</v>
      </c>
      <c r="D754" s="319">
        <v>20</v>
      </c>
      <c r="E754" s="460">
        <f>E739+E740+E750+E741</f>
        <v>87.239701999999994</v>
      </c>
      <c r="F754" s="512" t="s">
        <v>730</v>
      </c>
      <c r="G754" s="317">
        <f>E754*1490000*12*20/80-0.49</f>
        <v>389961467.44999993</v>
      </c>
      <c r="H754" s="317">
        <f>G754*10%+56</f>
        <v>38996202.744999997</v>
      </c>
      <c r="I754" s="317">
        <f>17*710000+4*2340000+1410000</f>
        <v>22840000</v>
      </c>
      <c r="J754" s="317">
        <f>K764</f>
        <v>158193000</v>
      </c>
      <c r="K754" s="317">
        <f>G754-H754-I754-J754</f>
        <v>169932264.70499992</v>
      </c>
      <c r="L754" s="520"/>
      <c r="M754" s="242">
        <f>D754*0.2</f>
        <v>4</v>
      </c>
    </row>
    <row r="755" spans="1:15" ht="20.25" hidden="1" customHeight="1" x14ac:dyDescent="0.25">
      <c r="A755" s="426" t="s">
        <v>287</v>
      </c>
      <c r="B755" s="315" t="s">
        <v>557</v>
      </c>
      <c r="C755" s="365" t="s">
        <v>526</v>
      </c>
      <c r="D755" s="320">
        <f>D737-D738</f>
        <v>1</v>
      </c>
      <c r="E755" s="460">
        <f>2.34*D755</f>
        <v>2.34</v>
      </c>
      <c r="F755" s="512" t="s">
        <v>730</v>
      </c>
      <c r="G755" s="317">
        <f>E755*1490000*12*20/80</f>
        <v>10459800</v>
      </c>
      <c r="H755" s="317">
        <f>G755*0.1</f>
        <v>1045980</v>
      </c>
      <c r="I755" s="317"/>
      <c r="J755" s="317"/>
      <c r="K755" s="317">
        <f>G755-H755-I755</f>
        <v>9413820</v>
      </c>
      <c r="L755" s="520"/>
    </row>
    <row r="756" spans="1:15" s="292" customFormat="1" ht="18.75" hidden="1" customHeight="1" x14ac:dyDescent="0.25">
      <c r="A756" s="241" t="s">
        <v>74</v>
      </c>
      <c r="B756" s="384" t="s">
        <v>744</v>
      </c>
      <c r="C756" s="377" t="s">
        <v>526</v>
      </c>
      <c r="D756" s="367">
        <v>20</v>
      </c>
      <c r="E756" s="521">
        <f>E739</f>
        <v>69.06</v>
      </c>
      <c r="F756" s="369">
        <f>2340000*10%</f>
        <v>234000</v>
      </c>
      <c r="G756" s="369">
        <f>F756*E756*12</f>
        <v>193920480</v>
      </c>
      <c r="H756" s="247"/>
      <c r="I756" s="247"/>
      <c r="J756" s="247"/>
      <c r="K756" s="247">
        <f>G756</f>
        <v>193920480</v>
      </c>
      <c r="L756" s="246"/>
    </row>
    <row r="757" spans="1:15" ht="18.75" hidden="1" customHeight="1" x14ac:dyDescent="0.25">
      <c r="A757" s="241" t="s">
        <v>74</v>
      </c>
      <c r="B757" s="384" t="s">
        <v>745</v>
      </c>
      <c r="C757" s="319"/>
      <c r="D757" s="319"/>
      <c r="E757" s="316"/>
      <c r="F757" s="312"/>
      <c r="G757" s="491">
        <f>G759+G758</f>
        <v>100000000</v>
      </c>
      <c r="H757" s="491">
        <f t="shared" ref="H757:K757" si="204">H759+H758</f>
        <v>0</v>
      </c>
      <c r="I757" s="491">
        <f t="shared" si="204"/>
        <v>0</v>
      </c>
      <c r="J757" s="491"/>
      <c r="K757" s="491">
        <f t="shared" si="204"/>
        <v>100000000</v>
      </c>
      <c r="L757" s="313"/>
    </row>
    <row r="758" spans="1:15" ht="18.75" hidden="1" customHeight="1" x14ac:dyDescent="0.25">
      <c r="A758" s="426" t="s">
        <v>287</v>
      </c>
      <c r="B758" s="529" t="s">
        <v>770</v>
      </c>
      <c r="C758" s="307" t="s">
        <v>762</v>
      </c>
      <c r="D758" s="319">
        <v>1</v>
      </c>
      <c r="E758" s="316"/>
      <c r="F758" s="312">
        <v>100000000</v>
      </c>
      <c r="G758" s="317">
        <f>F758*D758</f>
        <v>100000000</v>
      </c>
      <c r="H758" s="317"/>
      <c r="I758" s="317"/>
      <c r="J758" s="317"/>
      <c r="K758" s="317">
        <f>G758-H758-I758</f>
        <v>100000000</v>
      </c>
      <c r="L758" s="313"/>
    </row>
    <row r="759" spans="1:15" ht="33.75" hidden="1" customHeight="1" x14ac:dyDescent="0.25">
      <c r="A759" s="426" t="s">
        <v>287</v>
      </c>
      <c r="B759" s="529" t="s">
        <v>746</v>
      </c>
      <c r="C759" s="307" t="s">
        <v>732</v>
      </c>
      <c r="D759" s="319">
        <v>0</v>
      </c>
      <c r="E759" s="316"/>
      <c r="F759" s="312">
        <v>50000000</v>
      </c>
      <c r="G759" s="317">
        <f>D759*F759</f>
        <v>0</v>
      </c>
      <c r="H759" s="317"/>
      <c r="I759" s="317"/>
      <c r="J759" s="317"/>
      <c r="K759" s="317">
        <f>G759-H759-I759</f>
        <v>0</v>
      </c>
      <c r="L759" s="313"/>
    </row>
    <row r="760" spans="1:15" s="292" customFormat="1" ht="20.25" hidden="1" customHeight="1" x14ac:dyDescent="0.25">
      <c r="A760" s="522" t="s">
        <v>74</v>
      </c>
      <c r="B760" s="340" t="s">
        <v>733</v>
      </c>
      <c r="C760" s="367"/>
      <c r="D760" s="367"/>
      <c r="E760" s="523"/>
      <c r="F760" s="369"/>
      <c r="G760" s="518">
        <f>SUM(G761:G766)-G762</f>
        <v>3140792000</v>
      </c>
      <c r="H760" s="518">
        <f>SUM(H761:H766)-H762</f>
        <v>105462000</v>
      </c>
      <c r="I760" s="518">
        <f>SUM(I761:I766)-I762</f>
        <v>0</v>
      </c>
      <c r="J760" s="518"/>
      <c r="K760" s="518">
        <f>SUM(K761:K766)-K762</f>
        <v>3035330000</v>
      </c>
      <c r="L760" s="246"/>
    </row>
    <row r="761" spans="1:15" ht="32.25" hidden="1" customHeight="1" x14ac:dyDescent="0.25">
      <c r="A761" s="513" t="s">
        <v>287</v>
      </c>
      <c r="B761" s="325" t="s">
        <v>763</v>
      </c>
      <c r="C761" s="319"/>
      <c r="D761" s="319"/>
      <c r="E761" s="428"/>
      <c r="F761" s="312"/>
      <c r="G761" s="444">
        <v>71392000</v>
      </c>
      <c r="H761" s="312"/>
      <c r="I761" s="312"/>
      <c r="J761" s="312"/>
      <c r="K761" s="317">
        <f t="shared" ref="K761" si="205">G761-H761-I761</f>
        <v>71392000</v>
      </c>
      <c r="L761" s="313"/>
    </row>
    <row r="762" spans="1:15" ht="20.25" hidden="1" customHeight="1" x14ac:dyDescent="0.25">
      <c r="A762" s="513" t="s">
        <v>287</v>
      </c>
      <c r="B762" s="325" t="s">
        <v>613</v>
      </c>
      <c r="C762" s="319"/>
      <c r="D762" s="319"/>
      <c r="E762" s="428"/>
      <c r="F762" s="312"/>
      <c r="G762" s="444">
        <f>G763+G764</f>
        <v>688905000</v>
      </c>
      <c r="H762" s="444">
        <f>H763+H764</f>
        <v>105462000</v>
      </c>
      <c r="I762" s="312"/>
      <c r="J762" s="312"/>
      <c r="K762" s="444">
        <f>K763+K764</f>
        <v>583443000</v>
      </c>
      <c r="L762" s="313"/>
    </row>
    <row r="763" spans="1:15" s="259" customFormat="1" ht="20.25" hidden="1" customHeight="1" x14ac:dyDescent="0.25">
      <c r="A763" s="515"/>
      <c r="B763" s="326" t="s">
        <v>737</v>
      </c>
      <c r="C763" s="477"/>
      <c r="D763" s="477"/>
      <c r="E763" s="430"/>
      <c r="F763" s="330"/>
      <c r="G763" s="516">
        <v>425250000</v>
      </c>
      <c r="H763" s="330"/>
      <c r="I763" s="330"/>
      <c r="J763" s="330"/>
      <c r="K763" s="516">
        <f>G763-H763-I763</f>
        <v>425250000</v>
      </c>
      <c r="L763" s="331"/>
    </row>
    <row r="764" spans="1:15" s="259" customFormat="1" ht="20.25" hidden="1" customHeight="1" x14ac:dyDescent="0.25">
      <c r="A764" s="515"/>
      <c r="B764" s="326" t="s">
        <v>738</v>
      </c>
      <c r="C764" s="477"/>
      <c r="D764" s="477"/>
      <c r="E764" s="430"/>
      <c r="F764" s="330"/>
      <c r="G764" s="516">
        <v>263655000</v>
      </c>
      <c r="H764" s="330">
        <f>G764*0.4</f>
        <v>105462000</v>
      </c>
      <c r="I764" s="330"/>
      <c r="J764" s="330"/>
      <c r="K764" s="516">
        <f>G764-H764-I764</f>
        <v>158193000</v>
      </c>
      <c r="L764" s="331"/>
    </row>
    <row r="765" spans="1:15" ht="36.75" hidden="1" customHeight="1" x14ac:dyDescent="0.25">
      <c r="A765" s="513" t="s">
        <v>287</v>
      </c>
      <c r="B765" s="325" t="s">
        <v>764</v>
      </c>
      <c r="C765" s="319"/>
      <c r="D765" s="319"/>
      <c r="E765" s="428"/>
      <c r="F765" s="312"/>
      <c r="G765" s="444">
        <v>60000000</v>
      </c>
      <c r="H765" s="312"/>
      <c r="I765" s="312"/>
      <c r="J765" s="312"/>
      <c r="K765" s="317">
        <f>G765-H765-I765</f>
        <v>60000000</v>
      </c>
      <c r="L765" s="313"/>
    </row>
    <row r="766" spans="1:15" ht="36.75" hidden="1" customHeight="1" x14ac:dyDescent="0.25">
      <c r="A766" s="513" t="s">
        <v>287</v>
      </c>
      <c r="B766" s="325" t="s">
        <v>740</v>
      </c>
      <c r="C766" s="319"/>
      <c r="D766" s="319"/>
      <c r="E766" s="428"/>
      <c r="F766" s="312"/>
      <c r="G766" s="444">
        <v>2320495000</v>
      </c>
      <c r="H766" s="312"/>
      <c r="I766" s="312"/>
      <c r="J766" s="312"/>
      <c r="K766" s="317">
        <f>G766-H766-I766</f>
        <v>2320495000</v>
      </c>
      <c r="L766" s="313"/>
    </row>
    <row r="767" spans="1:15" s="676" customFormat="1" ht="27.75" customHeight="1" x14ac:dyDescent="0.25">
      <c r="A767" s="670" t="s">
        <v>786</v>
      </c>
      <c r="B767" s="671" t="s">
        <v>787</v>
      </c>
      <c r="C767" s="672" t="s">
        <v>526</v>
      </c>
      <c r="D767" s="672">
        <v>18</v>
      </c>
      <c r="E767" s="673"/>
      <c r="F767" s="674"/>
      <c r="G767" s="674">
        <f>SUM(G768:G772)</f>
        <v>7285601655.375</v>
      </c>
      <c r="H767" s="674">
        <f>SUM(H768:H772)</f>
        <v>106992999.99950001</v>
      </c>
      <c r="I767" s="674">
        <f>SUM(I768:I772)</f>
        <v>20710000</v>
      </c>
      <c r="J767" s="674">
        <f>SUM(J768:J772)</f>
        <v>106968000</v>
      </c>
      <c r="K767" s="674">
        <f>SUM(K768:K772)</f>
        <v>7050930000</v>
      </c>
      <c r="L767" s="675"/>
      <c r="N767" s="677">
        <f>N768+N769</f>
        <v>7050930000</v>
      </c>
      <c r="O767" s="677">
        <f>K767-N767</f>
        <v>0</v>
      </c>
    </row>
    <row r="768" spans="1:15" ht="22.5" customHeight="1" x14ac:dyDescent="0.25">
      <c r="A768" s="307" t="s">
        <v>576</v>
      </c>
      <c r="B768" s="412" t="s">
        <v>527</v>
      </c>
      <c r="C768" s="319" t="s">
        <v>526</v>
      </c>
      <c r="D768" s="320">
        <f>D780</f>
        <v>18</v>
      </c>
      <c r="E768" s="419">
        <f>E780</f>
        <v>167.53398250000001</v>
      </c>
      <c r="F768" s="312"/>
      <c r="G768" s="444">
        <f>G780</f>
        <v>4704354228.6000004</v>
      </c>
      <c r="H768" s="312"/>
      <c r="I768" s="312"/>
      <c r="J768" s="312"/>
      <c r="K768" s="323">
        <f>G768-H768-228.6</f>
        <v>4704354000</v>
      </c>
      <c r="L768" s="313"/>
      <c r="M768" s="242" t="s">
        <v>893</v>
      </c>
      <c r="N768" s="293">
        <f>K768+K769+K770+K771</f>
        <v>5173438000</v>
      </c>
    </row>
    <row r="769" spans="1:14" ht="22.5" customHeight="1" x14ac:dyDescent="0.25">
      <c r="A769" s="307" t="s">
        <v>583</v>
      </c>
      <c r="B769" s="412" t="s">
        <v>729</v>
      </c>
      <c r="C769" s="365" t="s">
        <v>526</v>
      </c>
      <c r="D769" s="319">
        <f>D794</f>
        <v>18</v>
      </c>
      <c r="E769" s="460">
        <f>E794</f>
        <v>79.821482500000002</v>
      </c>
      <c r="F769" s="512" t="s">
        <v>730</v>
      </c>
      <c r="G769" s="317">
        <f>E769*1490000*12*20/80</f>
        <v>356802026.77499998</v>
      </c>
      <c r="H769" s="317">
        <f>G769*10%-202.678</f>
        <v>35679999.999499999</v>
      </c>
      <c r="I769" s="317">
        <f>14*710000+4*2340000+1410000</f>
        <v>20710000</v>
      </c>
      <c r="J769" s="317">
        <f>K776</f>
        <v>106968000</v>
      </c>
      <c r="K769" s="317">
        <f>G769-H769-I769-26.7755-J769</f>
        <v>193444000</v>
      </c>
      <c r="L769" s="313"/>
      <c r="M769" s="242" t="s">
        <v>894</v>
      </c>
      <c r="N769" s="293">
        <f>K772</f>
        <v>1877492000</v>
      </c>
    </row>
    <row r="770" spans="1:14" ht="34.5" customHeight="1" x14ac:dyDescent="0.25">
      <c r="A770" s="513" t="s">
        <v>585</v>
      </c>
      <c r="B770" s="325" t="s">
        <v>573</v>
      </c>
      <c r="C770" s="319" t="s">
        <v>526</v>
      </c>
      <c r="D770" s="319">
        <f>D795</f>
        <v>18</v>
      </c>
      <c r="E770" s="514">
        <f>E795</f>
        <v>62.55</v>
      </c>
      <c r="F770" s="312">
        <v>234000</v>
      </c>
      <c r="G770" s="312">
        <f>F770*E770*12</f>
        <v>175640400</v>
      </c>
      <c r="H770" s="312"/>
      <c r="I770" s="312"/>
      <c r="J770" s="312"/>
      <c r="K770" s="444">
        <f>G770-400</f>
        <v>175640000</v>
      </c>
      <c r="L770" s="313"/>
    </row>
    <row r="771" spans="1:14" ht="24" customHeight="1" x14ac:dyDescent="0.25">
      <c r="A771" s="513" t="s">
        <v>587</v>
      </c>
      <c r="B771" s="529" t="s">
        <v>761</v>
      </c>
      <c r="C771" s="307" t="s">
        <v>762</v>
      </c>
      <c r="D771" s="319">
        <v>1</v>
      </c>
      <c r="E771" s="316"/>
      <c r="F771" s="312">
        <v>100000000</v>
      </c>
      <c r="G771" s="317">
        <f>F771*D771</f>
        <v>100000000</v>
      </c>
      <c r="H771" s="317"/>
      <c r="I771" s="317"/>
      <c r="J771" s="317"/>
      <c r="K771" s="317">
        <f>G771-H771-I771</f>
        <v>100000000</v>
      </c>
      <c r="L771" s="313"/>
    </row>
    <row r="772" spans="1:14" ht="24" customHeight="1" x14ac:dyDescent="0.25">
      <c r="A772" s="307" t="s">
        <v>595</v>
      </c>
      <c r="B772" s="325" t="s">
        <v>733</v>
      </c>
      <c r="C772" s="309"/>
      <c r="D772" s="309"/>
      <c r="E772" s="419"/>
      <c r="F772" s="312"/>
      <c r="G772" s="323">
        <f>SUM(G773:G778)-G774</f>
        <v>1948805000</v>
      </c>
      <c r="H772" s="323">
        <f>SUM(H773:H778)-H774</f>
        <v>71313000</v>
      </c>
      <c r="I772" s="323">
        <f>SUM(I773:I778)-I774</f>
        <v>0</v>
      </c>
      <c r="J772" s="323"/>
      <c r="K772" s="323">
        <f>SUM(K773:K778)-K774</f>
        <v>1877492000</v>
      </c>
      <c r="L772" s="313"/>
    </row>
    <row r="773" spans="1:14" ht="36.75" customHeight="1" x14ac:dyDescent="0.25">
      <c r="A773" s="307" t="s">
        <v>287</v>
      </c>
      <c r="B773" s="325" t="s">
        <v>763</v>
      </c>
      <c r="C773" s="309"/>
      <c r="D773" s="309"/>
      <c r="E773" s="419"/>
      <c r="F773" s="312"/>
      <c r="G773" s="323">
        <f>G800</f>
        <v>35696000</v>
      </c>
      <c r="H773" s="312"/>
      <c r="I773" s="312"/>
      <c r="J773" s="312"/>
      <c r="K773" s="323">
        <f>G773-H773-I773</f>
        <v>35696000</v>
      </c>
      <c r="L773" s="313"/>
    </row>
    <row r="774" spans="1:14" ht="21.75" customHeight="1" x14ac:dyDescent="0.25">
      <c r="A774" s="307" t="s">
        <v>287</v>
      </c>
      <c r="B774" s="325" t="s">
        <v>613</v>
      </c>
      <c r="C774" s="309"/>
      <c r="D774" s="309"/>
      <c r="E774" s="419"/>
      <c r="F774" s="312"/>
      <c r="G774" s="323">
        <f t="shared" ref="G774:H778" si="206">G801</f>
        <v>465831000</v>
      </c>
      <c r="H774" s="312"/>
      <c r="I774" s="312"/>
      <c r="J774" s="312"/>
      <c r="K774" s="323">
        <f t="shared" ref="K774:K778" si="207">G774-H774-I774</f>
        <v>465831000</v>
      </c>
      <c r="L774" s="313"/>
    </row>
    <row r="775" spans="1:14" ht="21.75" customHeight="1" x14ac:dyDescent="0.25">
      <c r="A775" s="307" t="s">
        <v>74</v>
      </c>
      <c r="B775" s="326" t="s">
        <v>737</v>
      </c>
      <c r="C775" s="309"/>
      <c r="D775" s="309"/>
      <c r="E775" s="419"/>
      <c r="F775" s="312"/>
      <c r="G775" s="329">
        <f t="shared" si="206"/>
        <v>287550000</v>
      </c>
      <c r="H775" s="329">
        <f t="shared" si="206"/>
        <v>0</v>
      </c>
      <c r="I775" s="330"/>
      <c r="J775" s="330"/>
      <c r="K775" s="329">
        <f t="shared" si="207"/>
        <v>287550000</v>
      </c>
      <c r="L775" s="313"/>
    </row>
    <row r="776" spans="1:14" ht="21.75" customHeight="1" x14ac:dyDescent="0.25">
      <c r="A776" s="307" t="s">
        <v>74</v>
      </c>
      <c r="B776" s="326" t="s">
        <v>738</v>
      </c>
      <c r="C776" s="309"/>
      <c r="D776" s="309"/>
      <c r="E776" s="419"/>
      <c r="F776" s="312"/>
      <c r="G776" s="329">
        <f t="shared" si="206"/>
        <v>178281000</v>
      </c>
      <c r="H776" s="329">
        <f t="shared" si="206"/>
        <v>71313000</v>
      </c>
      <c r="I776" s="330"/>
      <c r="J776" s="330"/>
      <c r="K776" s="329">
        <f t="shared" si="207"/>
        <v>106968000</v>
      </c>
      <c r="L776" s="313"/>
    </row>
    <row r="777" spans="1:14" ht="36" customHeight="1" x14ac:dyDescent="0.25">
      <c r="A777" s="307" t="s">
        <v>287</v>
      </c>
      <c r="B777" s="325" t="s">
        <v>764</v>
      </c>
      <c r="C777" s="309"/>
      <c r="D777" s="309"/>
      <c r="E777" s="419"/>
      <c r="F777" s="312"/>
      <c r="G777" s="323">
        <f t="shared" si="206"/>
        <v>55000000</v>
      </c>
      <c r="H777" s="312"/>
      <c r="I777" s="312"/>
      <c r="J777" s="312"/>
      <c r="K777" s="323">
        <f t="shared" si="207"/>
        <v>55000000</v>
      </c>
      <c r="L777" s="313"/>
    </row>
    <row r="778" spans="1:14" ht="36" customHeight="1" x14ac:dyDescent="0.25">
      <c r="A778" s="307" t="s">
        <v>287</v>
      </c>
      <c r="B778" s="325" t="s">
        <v>740</v>
      </c>
      <c r="C778" s="309"/>
      <c r="D778" s="309"/>
      <c r="E778" s="419"/>
      <c r="F778" s="312"/>
      <c r="G778" s="323">
        <f t="shared" si="206"/>
        <v>1392278000</v>
      </c>
      <c r="H778" s="312"/>
      <c r="I778" s="312"/>
      <c r="J778" s="312"/>
      <c r="K778" s="323">
        <f t="shared" si="207"/>
        <v>1392278000</v>
      </c>
      <c r="L778" s="313"/>
    </row>
    <row r="779" spans="1:14" s="489" customFormat="1" ht="18.75" hidden="1" customHeight="1" x14ac:dyDescent="0.25">
      <c r="A779" s="333"/>
      <c r="B779" s="481" t="s">
        <v>788</v>
      </c>
      <c r="C779" s="482"/>
      <c r="D779" s="483"/>
      <c r="E779" s="484"/>
      <c r="F779" s="337"/>
      <c r="G779" s="486">
        <f>G780+G793+G795+G796+G799</f>
        <v>7285601655.375</v>
      </c>
      <c r="H779" s="486">
        <f t="shared" ref="H779:K779" si="208">H780+H793+H795+H796+H799</f>
        <v>106992999.99950001</v>
      </c>
      <c r="I779" s="486">
        <f t="shared" si="208"/>
        <v>20710000</v>
      </c>
      <c r="J779" s="486">
        <f t="shared" si="208"/>
        <v>106968000</v>
      </c>
      <c r="K779" s="486">
        <f t="shared" si="208"/>
        <v>7050930655.3755007</v>
      </c>
      <c r="L779" s="517"/>
    </row>
    <row r="780" spans="1:14" hidden="1" x14ac:dyDescent="0.25">
      <c r="A780" s="241" t="s">
        <v>541</v>
      </c>
      <c r="B780" s="490" t="s">
        <v>636</v>
      </c>
      <c r="C780" s="294"/>
      <c r="D780" s="294">
        <v>18</v>
      </c>
      <c r="E780" s="299">
        <f>SUM(E781:E792)</f>
        <v>167.53398250000001</v>
      </c>
      <c r="F780" s="369"/>
      <c r="G780" s="491">
        <f>SUM(G781:G792)</f>
        <v>4704354228.6000004</v>
      </c>
      <c r="H780" s="491">
        <f t="shared" ref="H780:K780" si="209">SUM(H781:H792)</f>
        <v>0</v>
      </c>
      <c r="I780" s="491">
        <f t="shared" si="209"/>
        <v>0</v>
      </c>
      <c r="J780" s="491"/>
      <c r="K780" s="491">
        <f t="shared" si="209"/>
        <v>4704354228.6000004</v>
      </c>
      <c r="L780" s="313"/>
    </row>
    <row r="781" spans="1:14" hidden="1" x14ac:dyDescent="0.25">
      <c r="A781" s="307" t="s">
        <v>287</v>
      </c>
      <c r="B781" s="315" t="s">
        <v>543</v>
      </c>
      <c r="C781" s="365" t="s">
        <v>526</v>
      </c>
      <c r="D781" s="365">
        <v>18</v>
      </c>
      <c r="E781" s="422">
        <v>62.55</v>
      </c>
      <c r="F781" s="312">
        <v>2340000</v>
      </c>
      <c r="G781" s="317">
        <f>E781*F781*12</f>
        <v>1756404000</v>
      </c>
      <c r="H781" s="317"/>
      <c r="I781" s="317"/>
      <c r="J781" s="317"/>
      <c r="K781" s="317">
        <f>G781-H781-I781</f>
        <v>1756404000</v>
      </c>
      <c r="L781" s="313"/>
    </row>
    <row r="782" spans="1:14" hidden="1" x14ac:dyDescent="0.25">
      <c r="A782" s="307" t="s">
        <v>287</v>
      </c>
      <c r="B782" s="315" t="s">
        <v>544</v>
      </c>
      <c r="C782" s="365" t="s">
        <v>526</v>
      </c>
      <c r="D782" s="365">
        <v>6</v>
      </c>
      <c r="E782" s="366">
        <v>1.7</v>
      </c>
      <c r="F782" s="312">
        <v>2340000</v>
      </c>
      <c r="G782" s="317">
        <f t="shared" ref="G782:G789" si="210">E782*F782*12</f>
        <v>47736000</v>
      </c>
      <c r="H782" s="317"/>
      <c r="I782" s="317"/>
      <c r="J782" s="317"/>
      <c r="K782" s="317">
        <f t="shared" ref="K782:K792" si="211">G782-H782-I782</f>
        <v>47736000</v>
      </c>
      <c r="L782" s="313"/>
    </row>
    <row r="783" spans="1:14" hidden="1" x14ac:dyDescent="0.25">
      <c r="A783" s="307" t="s">
        <v>287</v>
      </c>
      <c r="B783" s="315" t="s">
        <v>545</v>
      </c>
      <c r="C783" s="365" t="s">
        <v>526</v>
      </c>
      <c r="D783" s="365">
        <v>0</v>
      </c>
      <c r="E783" s="366"/>
      <c r="F783" s="312">
        <v>2340000</v>
      </c>
      <c r="G783" s="317">
        <f t="shared" si="210"/>
        <v>0</v>
      </c>
      <c r="H783" s="317"/>
      <c r="I783" s="317"/>
      <c r="J783" s="317"/>
      <c r="K783" s="317">
        <f t="shared" si="211"/>
        <v>0</v>
      </c>
      <c r="L783" s="313"/>
    </row>
    <row r="784" spans="1:14" hidden="1" x14ac:dyDescent="0.25">
      <c r="A784" s="307" t="s">
        <v>287</v>
      </c>
      <c r="B784" s="315" t="s">
        <v>546</v>
      </c>
      <c r="C784" s="365" t="s">
        <v>526</v>
      </c>
      <c r="D784" s="365">
        <v>18</v>
      </c>
      <c r="E784" s="366">
        <f>D784*0.7</f>
        <v>12.6</v>
      </c>
      <c r="F784" s="312">
        <v>2340000</v>
      </c>
      <c r="G784" s="317">
        <f t="shared" si="210"/>
        <v>353808000</v>
      </c>
      <c r="H784" s="317"/>
      <c r="I784" s="317"/>
      <c r="J784" s="317"/>
      <c r="K784" s="317">
        <f t="shared" si="211"/>
        <v>353808000</v>
      </c>
      <c r="L784" s="313"/>
    </row>
    <row r="785" spans="1:13" hidden="1" x14ac:dyDescent="0.25">
      <c r="A785" s="307" t="s">
        <v>287</v>
      </c>
      <c r="B785" s="315" t="s">
        <v>547</v>
      </c>
      <c r="C785" s="365" t="s">
        <v>526</v>
      </c>
      <c r="D785" s="365">
        <v>17</v>
      </c>
      <c r="E785" s="366">
        <v>5.4</v>
      </c>
      <c r="F785" s="312">
        <v>2340000</v>
      </c>
      <c r="G785" s="317">
        <f t="shared" si="210"/>
        <v>151632000</v>
      </c>
      <c r="H785" s="317"/>
      <c r="I785" s="317"/>
      <c r="J785" s="317"/>
      <c r="K785" s="317">
        <f t="shared" si="211"/>
        <v>151632000</v>
      </c>
      <c r="L785" s="313"/>
    </row>
    <row r="786" spans="1:13" hidden="1" x14ac:dyDescent="0.25">
      <c r="A786" s="307" t="s">
        <v>287</v>
      </c>
      <c r="B786" s="315" t="s">
        <v>548</v>
      </c>
      <c r="C786" s="365" t="s">
        <v>526</v>
      </c>
      <c r="D786" s="365">
        <v>4</v>
      </c>
      <c r="E786" s="366">
        <v>6.6920000000000002</v>
      </c>
      <c r="F786" s="312">
        <v>2340000</v>
      </c>
      <c r="G786" s="317">
        <f t="shared" si="210"/>
        <v>187911360</v>
      </c>
      <c r="H786" s="317"/>
      <c r="I786" s="317"/>
      <c r="J786" s="317"/>
      <c r="K786" s="317">
        <f t="shared" si="211"/>
        <v>187911360</v>
      </c>
      <c r="L786" s="313"/>
    </row>
    <row r="787" spans="1:13" hidden="1" x14ac:dyDescent="0.25">
      <c r="A787" s="307" t="s">
        <v>287</v>
      </c>
      <c r="B787" s="315" t="s">
        <v>549</v>
      </c>
      <c r="C787" s="365" t="s">
        <v>526</v>
      </c>
      <c r="D787" s="365">
        <v>14</v>
      </c>
      <c r="E787" s="366">
        <v>10.8</v>
      </c>
      <c r="F787" s="312">
        <v>2340000</v>
      </c>
      <c r="G787" s="317">
        <f t="shared" si="210"/>
        <v>303264000</v>
      </c>
      <c r="H787" s="317"/>
      <c r="I787" s="317"/>
      <c r="J787" s="317"/>
      <c r="K787" s="317">
        <f t="shared" si="211"/>
        <v>303264000</v>
      </c>
      <c r="L787" s="313"/>
    </row>
    <row r="788" spans="1:13" hidden="1" x14ac:dyDescent="0.25">
      <c r="A788" s="307" t="s">
        <v>287</v>
      </c>
      <c r="B788" s="315" t="s">
        <v>675</v>
      </c>
      <c r="C788" s="365" t="s">
        <v>526</v>
      </c>
      <c r="D788" s="365">
        <v>14</v>
      </c>
      <c r="E788" s="366">
        <f>8.0635+0.112</f>
        <v>8.1754999999999995</v>
      </c>
      <c r="F788" s="312">
        <v>2340000</v>
      </c>
      <c r="G788" s="317">
        <f t="shared" si="210"/>
        <v>229568040</v>
      </c>
      <c r="H788" s="317"/>
      <c r="I788" s="317"/>
      <c r="J788" s="317"/>
      <c r="K788" s="317">
        <f t="shared" si="211"/>
        <v>229568040</v>
      </c>
      <c r="L788" s="313"/>
    </row>
    <row r="789" spans="1:13" hidden="1" x14ac:dyDescent="0.25">
      <c r="A789" s="307" t="s">
        <v>287</v>
      </c>
      <c r="B789" s="315" t="s">
        <v>768</v>
      </c>
      <c r="C789" s="365" t="s">
        <v>526</v>
      </c>
      <c r="D789" s="365">
        <v>0</v>
      </c>
      <c r="E789" s="366">
        <v>0</v>
      </c>
      <c r="F789" s="312">
        <v>2340000</v>
      </c>
      <c r="G789" s="317">
        <f t="shared" si="210"/>
        <v>0</v>
      </c>
      <c r="H789" s="317"/>
      <c r="I789" s="317"/>
      <c r="J789" s="317"/>
      <c r="K789" s="317">
        <f t="shared" si="211"/>
        <v>0</v>
      </c>
      <c r="L789" s="313"/>
    </row>
    <row r="790" spans="1:13" hidden="1" x14ac:dyDescent="0.25">
      <c r="A790" s="307" t="s">
        <v>287</v>
      </c>
      <c r="B790" s="315" t="s">
        <v>769</v>
      </c>
      <c r="C790" s="365" t="s">
        <v>526</v>
      </c>
      <c r="D790" s="365">
        <v>0</v>
      </c>
      <c r="E790" s="366">
        <v>0</v>
      </c>
      <c r="F790" s="312">
        <v>2340000</v>
      </c>
      <c r="G790" s="317">
        <f>E790*F790*9</f>
        <v>0</v>
      </c>
      <c r="H790" s="317"/>
      <c r="I790" s="317"/>
      <c r="J790" s="317"/>
      <c r="K790" s="317">
        <f t="shared" si="211"/>
        <v>0</v>
      </c>
      <c r="L790" s="313"/>
    </row>
    <row r="791" spans="1:13" hidden="1" x14ac:dyDescent="0.25">
      <c r="A791" s="307" t="s">
        <v>287</v>
      </c>
      <c r="B791" s="315" t="s">
        <v>742</v>
      </c>
      <c r="C791" s="365" t="s">
        <v>526</v>
      </c>
      <c r="D791" s="365">
        <v>18</v>
      </c>
      <c r="E791" s="366">
        <v>44.045000000000002</v>
      </c>
      <c r="F791" s="312">
        <v>2340000</v>
      </c>
      <c r="G791" s="317">
        <f t="shared" ref="G791:G792" si="212">E791*F791*12</f>
        <v>1236783600</v>
      </c>
      <c r="H791" s="317"/>
      <c r="I791" s="317"/>
      <c r="J791" s="317"/>
      <c r="K791" s="317">
        <f t="shared" si="211"/>
        <v>1236783600</v>
      </c>
      <c r="L791" s="313"/>
    </row>
    <row r="792" spans="1:13" hidden="1" x14ac:dyDescent="0.25">
      <c r="A792" s="307" t="s">
        <v>287</v>
      </c>
      <c r="B792" s="315" t="s">
        <v>676</v>
      </c>
      <c r="C792" s="365" t="s">
        <v>526</v>
      </c>
      <c r="D792" s="365">
        <v>18</v>
      </c>
      <c r="E792" s="366">
        <f>(E781+E782+E783+E788)*21.5%</f>
        <v>15.5714825</v>
      </c>
      <c r="F792" s="312">
        <v>2340000</v>
      </c>
      <c r="G792" s="317">
        <f t="shared" si="212"/>
        <v>437247228.59999996</v>
      </c>
      <c r="H792" s="317"/>
      <c r="I792" s="317"/>
      <c r="J792" s="317"/>
      <c r="K792" s="317">
        <f t="shared" si="211"/>
        <v>437247228.59999996</v>
      </c>
      <c r="L792" s="313"/>
    </row>
    <row r="793" spans="1:13" ht="18.75" hidden="1" customHeight="1" x14ac:dyDescent="0.25">
      <c r="A793" s="241" t="s">
        <v>74</v>
      </c>
      <c r="B793" s="384" t="s">
        <v>591</v>
      </c>
      <c r="C793" s="367"/>
      <c r="D793" s="367"/>
      <c r="E793" s="368"/>
      <c r="F793" s="518"/>
      <c r="G793" s="519">
        <f>G794</f>
        <v>356802026.77499998</v>
      </c>
      <c r="H793" s="519">
        <f>H794</f>
        <v>35679999.999499999</v>
      </c>
      <c r="I793" s="519">
        <f>I794</f>
        <v>20710000</v>
      </c>
      <c r="J793" s="519">
        <f>J794</f>
        <v>106968000</v>
      </c>
      <c r="K793" s="519">
        <f>K794</f>
        <v>193444026.7755</v>
      </c>
      <c r="L793" s="313"/>
    </row>
    <row r="794" spans="1:13" ht="18.75" hidden="1" customHeight="1" x14ac:dyDescent="0.25">
      <c r="A794" s="426" t="s">
        <v>287</v>
      </c>
      <c r="B794" s="315" t="s">
        <v>663</v>
      </c>
      <c r="C794" s="365" t="s">
        <v>526</v>
      </c>
      <c r="D794" s="319">
        <v>18</v>
      </c>
      <c r="E794" s="460">
        <f>E781+E782+E792+E783</f>
        <v>79.821482500000002</v>
      </c>
      <c r="F794" s="512" t="s">
        <v>730</v>
      </c>
      <c r="G794" s="317">
        <f>E794*1490000*12*20/80</f>
        <v>356802026.77499998</v>
      </c>
      <c r="H794" s="317">
        <f>G794*10%-202.678</f>
        <v>35679999.999499999</v>
      </c>
      <c r="I794" s="317">
        <f>14*710000+4*2340000+1410000</f>
        <v>20710000</v>
      </c>
      <c r="J794" s="317">
        <f>K803</f>
        <v>106968000</v>
      </c>
      <c r="K794" s="317">
        <f>G794-H794-I794-J794</f>
        <v>193444026.7755</v>
      </c>
      <c r="L794" s="520"/>
      <c r="M794" s="242">
        <f>D794*0.2</f>
        <v>3.6</v>
      </c>
    </row>
    <row r="795" spans="1:13" s="292" customFormat="1" ht="18.75" hidden="1" customHeight="1" x14ac:dyDescent="0.25">
      <c r="A795" s="241" t="s">
        <v>74</v>
      </c>
      <c r="B795" s="384" t="s">
        <v>744</v>
      </c>
      <c r="C795" s="377" t="s">
        <v>526</v>
      </c>
      <c r="D795" s="367">
        <v>18</v>
      </c>
      <c r="E795" s="521">
        <f>E781</f>
        <v>62.55</v>
      </c>
      <c r="F795" s="369">
        <f>2340000*10%</f>
        <v>234000</v>
      </c>
      <c r="G795" s="369">
        <f>F795*E795*12</f>
        <v>175640400</v>
      </c>
      <c r="H795" s="247"/>
      <c r="I795" s="247"/>
      <c r="J795" s="247"/>
      <c r="K795" s="247">
        <f>G795</f>
        <v>175640400</v>
      </c>
      <c r="L795" s="246"/>
    </row>
    <row r="796" spans="1:13" ht="18.75" hidden="1" customHeight="1" x14ac:dyDescent="0.25">
      <c r="A796" s="241" t="s">
        <v>74</v>
      </c>
      <c r="B796" s="384" t="s">
        <v>745</v>
      </c>
      <c r="C796" s="319"/>
      <c r="D796" s="319"/>
      <c r="E796" s="316"/>
      <c r="F796" s="312"/>
      <c r="G796" s="491">
        <f>G798+G797</f>
        <v>100000000</v>
      </c>
      <c r="H796" s="491">
        <f t="shared" ref="H796:K796" si="213">H798+H797</f>
        <v>0</v>
      </c>
      <c r="I796" s="491">
        <f t="shared" si="213"/>
        <v>0</v>
      </c>
      <c r="J796" s="491"/>
      <c r="K796" s="491">
        <f t="shared" si="213"/>
        <v>100000000</v>
      </c>
      <c r="L796" s="313"/>
    </row>
    <row r="797" spans="1:13" ht="18.75" hidden="1" customHeight="1" x14ac:dyDescent="0.25">
      <c r="A797" s="426" t="s">
        <v>287</v>
      </c>
      <c r="B797" s="529" t="s">
        <v>770</v>
      </c>
      <c r="C797" s="307" t="s">
        <v>762</v>
      </c>
      <c r="D797" s="319">
        <v>1</v>
      </c>
      <c r="E797" s="316"/>
      <c r="F797" s="312">
        <v>100000000</v>
      </c>
      <c r="G797" s="317">
        <f>F797*D797</f>
        <v>100000000</v>
      </c>
      <c r="H797" s="317"/>
      <c r="I797" s="317"/>
      <c r="J797" s="317"/>
      <c r="K797" s="317">
        <f>G797-H797-I797</f>
        <v>100000000</v>
      </c>
      <c r="L797" s="313"/>
    </row>
    <row r="798" spans="1:13" ht="33.75" hidden="1" customHeight="1" x14ac:dyDescent="0.25">
      <c r="A798" s="426" t="s">
        <v>287</v>
      </c>
      <c r="B798" s="529" t="s">
        <v>746</v>
      </c>
      <c r="C798" s="307" t="s">
        <v>732</v>
      </c>
      <c r="D798" s="319">
        <v>0</v>
      </c>
      <c r="E798" s="316"/>
      <c r="F798" s="312">
        <v>50000000</v>
      </c>
      <c r="G798" s="317">
        <f>D798*F798</f>
        <v>0</v>
      </c>
      <c r="H798" s="317"/>
      <c r="I798" s="317"/>
      <c r="J798" s="317"/>
      <c r="K798" s="317">
        <f>G798-H798-I798</f>
        <v>0</v>
      </c>
      <c r="L798" s="313"/>
    </row>
    <row r="799" spans="1:13" s="292" customFormat="1" ht="20.25" hidden="1" customHeight="1" x14ac:dyDescent="0.25">
      <c r="A799" s="522" t="s">
        <v>74</v>
      </c>
      <c r="B799" s="340" t="s">
        <v>733</v>
      </c>
      <c r="C799" s="367"/>
      <c r="D799" s="367"/>
      <c r="E799" s="523"/>
      <c r="F799" s="369"/>
      <c r="G799" s="518">
        <f>SUM(G800:G805)-G801</f>
        <v>1948805000</v>
      </c>
      <c r="H799" s="518">
        <f>SUM(H800:H805)-H801</f>
        <v>71313000</v>
      </c>
      <c r="I799" s="518">
        <f>SUM(I800:I805)-I801</f>
        <v>0</v>
      </c>
      <c r="J799" s="518"/>
      <c r="K799" s="518">
        <f>SUM(K800:K805)-K801</f>
        <v>1877492000</v>
      </c>
      <c r="L799" s="246"/>
    </row>
    <row r="800" spans="1:13" ht="32.25" hidden="1" customHeight="1" x14ac:dyDescent="0.25">
      <c r="A800" s="513" t="s">
        <v>287</v>
      </c>
      <c r="B800" s="325" t="s">
        <v>763</v>
      </c>
      <c r="C800" s="319"/>
      <c r="D800" s="319"/>
      <c r="E800" s="428"/>
      <c r="F800" s="312"/>
      <c r="G800" s="444">
        <v>35696000</v>
      </c>
      <c r="H800" s="312"/>
      <c r="I800" s="312"/>
      <c r="J800" s="312"/>
      <c r="K800" s="317">
        <f t="shared" ref="K800" si="214">G800-H800-I800</f>
        <v>35696000</v>
      </c>
      <c r="L800" s="313"/>
    </row>
    <row r="801" spans="1:15" ht="20.25" hidden="1" customHeight="1" x14ac:dyDescent="0.25">
      <c r="A801" s="513" t="s">
        <v>287</v>
      </c>
      <c r="B801" s="325" t="s">
        <v>613</v>
      </c>
      <c r="C801" s="319"/>
      <c r="D801" s="319"/>
      <c r="E801" s="428"/>
      <c r="F801" s="312"/>
      <c r="G801" s="444">
        <f>G802+G803</f>
        <v>465831000</v>
      </c>
      <c r="H801" s="444">
        <f>H802+H803</f>
        <v>71313000</v>
      </c>
      <c r="I801" s="312"/>
      <c r="J801" s="312"/>
      <c r="K801" s="444">
        <f>K802+K803</f>
        <v>394518000</v>
      </c>
      <c r="L801" s="313"/>
    </row>
    <row r="802" spans="1:15" s="259" customFormat="1" ht="20.25" hidden="1" customHeight="1" x14ac:dyDescent="0.25">
      <c r="A802" s="515"/>
      <c r="B802" s="326" t="s">
        <v>737</v>
      </c>
      <c r="C802" s="477"/>
      <c r="D802" s="477"/>
      <c r="E802" s="430"/>
      <c r="F802" s="330"/>
      <c r="G802" s="516">
        <v>287550000</v>
      </c>
      <c r="H802" s="330"/>
      <c r="I802" s="330"/>
      <c r="J802" s="330"/>
      <c r="K802" s="516">
        <f>G802-H802-I802</f>
        <v>287550000</v>
      </c>
      <c r="L802" s="331"/>
    </row>
    <row r="803" spans="1:15" s="259" customFormat="1" ht="20.25" hidden="1" customHeight="1" x14ac:dyDescent="0.25">
      <c r="A803" s="515"/>
      <c r="B803" s="326" t="s">
        <v>738</v>
      </c>
      <c r="C803" s="477"/>
      <c r="D803" s="477"/>
      <c r="E803" s="430"/>
      <c r="F803" s="330"/>
      <c r="G803" s="516">
        <v>178281000</v>
      </c>
      <c r="H803" s="330">
        <f>G803*0.4+600</f>
        <v>71313000</v>
      </c>
      <c r="I803" s="330"/>
      <c r="J803" s="330"/>
      <c r="K803" s="516">
        <f>G803-H803-I803</f>
        <v>106968000</v>
      </c>
      <c r="L803" s="331"/>
    </row>
    <row r="804" spans="1:15" ht="36.75" hidden="1" customHeight="1" x14ac:dyDescent="0.25">
      <c r="A804" s="513" t="s">
        <v>287</v>
      </c>
      <c r="B804" s="325" t="s">
        <v>764</v>
      </c>
      <c r="C804" s="319"/>
      <c r="D804" s="319"/>
      <c r="E804" s="428"/>
      <c r="F804" s="312"/>
      <c r="G804" s="444">
        <v>55000000</v>
      </c>
      <c r="H804" s="312"/>
      <c r="I804" s="312"/>
      <c r="J804" s="312"/>
      <c r="K804" s="317">
        <f>G804-H804-I804</f>
        <v>55000000</v>
      </c>
      <c r="L804" s="313"/>
    </row>
    <row r="805" spans="1:15" ht="36.75" hidden="1" customHeight="1" x14ac:dyDescent="0.25">
      <c r="A805" s="513" t="s">
        <v>287</v>
      </c>
      <c r="B805" s="325" t="s">
        <v>740</v>
      </c>
      <c r="C805" s="319"/>
      <c r="D805" s="319"/>
      <c r="E805" s="428"/>
      <c r="F805" s="312"/>
      <c r="G805" s="444">
        <v>1392278000</v>
      </c>
      <c r="H805" s="312"/>
      <c r="I805" s="312"/>
      <c r="J805" s="312"/>
      <c r="K805" s="317">
        <f>G805-H805-I805</f>
        <v>1392278000</v>
      </c>
      <c r="L805" s="313"/>
    </row>
    <row r="806" spans="1:15" s="306" customFormat="1" ht="27.75" customHeight="1" x14ac:dyDescent="0.25">
      <c r="A806" s="300" t="s">
        <v>33</v>
      </c>
      <c r="B806" s="403" t="s">
        <v>789</v>
      </c>
      <c r="C806" s="498" t="s">
        <v>526</v>
      </c>
      <c r="D806" s="302">
        <f>D807+D848+D887</f>
        <v>0</v>
      </c>
      <c r="E806" s="475"/>
      <c r="F806" s="304"/>
      <c r="G806" s="304">
        <f>G807+G808</f>
        <v>261000000</v>
      </c>
      <c r="H806" s="304">
        <f t="shared" ref="H806:K806" si="215">H807+H808</f>
        <v>0</v>
      </c>
      <c r="I806" s="304">
        <f t="shared" si="215"/>
        <v>0</v>
      </c>
      <c r="J806" s="304"/>
      <c r="K806" s="304">
        <f t="shared" si="215"/>
        <v>261000000</v>
      </c>
      <c r="L806" s="305"/>
      <c r="M806" s="668"/>
      <c r="N806" s="669">
        <f>N807+N808</f>
        <v>261000000</v>
      </c>
      <c r="O806" s="669">
        <f>K806-N806</f>
        <v>0</v>
      </c>
    </row>
    <row r="807" spans="1:15" ht="27" customHeight="1" x14ac:dyDescent="0.25">
      <c r="A807" s="513">
        <v>1</v>
      </c>
      <c r="B807" s="325" t="s">
        <v>790</v>
      </c>
      <c r="C807" s="319" t="s">
        <v>535</v>
      </c>
      <c r="D807" s="319"/>
      <c r="E807" s="428"/>
      <c r="F807" s="312"/>
      <c r="G807" s="444">
        <v>35000000</v>
      </c>
      <c r="H807" s="312"/>
      <c r="I807" s="312"/>
      <c r="J807" s="312"/>
      <c r="K807" s="317">
        <f>G807</f>
        <v>35000000</v>
      </c>
      <c r="L807" s="313"/>
      <c r="M807" s="242" t="s">
        <v>893</v>
      </c>
      <c r="N807" s="293"/>
    </row>
    <row r="808" spans="1:15" ht="59.25" customHeight="1" x14ac:dyDescent="0.25">
      <c r="A808" s="513">
        <v>2</v>
      </c>
      <c r="B808" s="325" t="s">
        <v>791</v>
      </c>
      <c r="C808" s="319"/>
      <c r="D808" s="319"/>
      <c r="E808" s="428"/>
      <c r="F808" s="312"/>
      <c r="G808" s="444">
        <v>226000000</v>
      </c>
      <c r="H808" s="312"/>
      <c r="I808" s="312"/>
      <c r="J808" s="312"/>
      <c r="K808" s="317">
        <f>G808</f>
        <v>226000000</v>
      </c>
      <c r="L808" s="313"/>
      <c r="M808" s="242" t="s">
        <v>894</v>
      </c>
      <c r="N808" s="293">
        <f>K808+K807</f>
        <v>261000000</v>
      </c>
    </row>
    <row r="809" spans="1:15" s="306" customFormat="1" ht="24.75" customHeight="1" x14ac:dyDescent="0.25">
      <c r="A809" s="300" t="s">
        <v>55</v>
      </c>
      <c r="B809" s="403" t="s">
        <v>214</v>
      </c>
      <c r="C809" s="302"/>
      <c r="D809" s="302"/>
      <c r="E809" s="530"/>
      <c r="F809" s="304"/>
      <c r="G809" s="304">
        <f>G810</f>
        <v>300000000</v>
      </c>
      <c r="H809" s="304">
        <f t="shared" ref="H809:K809" si="216">H810</f>
        <v>0</v>
      </c>
      <c r="I809" s="304"/>
      <c r="J809" s="304"/>
      <c r="K809" s="304">
        <f t="shared" si="216"/>
        <v>300000000</v>
      </c>
      <c r="L809" s="305"/>
      <c r="M809" s="668"/>
      <c r="N809" s="669">
        <f>N810+N811</f>
        <v>300000000</v>
      </c>
      <c r="O809" s="669">
        <f>K809-N809</f>
        <v>0</v>
      </c>
    </row>
    <row r="810" spans="1:15" s="292" customFormat="1" ht="24.75" customHeight="1" x14ac:dyDescent="0.25">
      <c r="A810" s="241">
        <v>1</v>
      </c>
      <c r="B810" s="531" t="s">
        <v>215</v>
      </c>
      <c r="C810" s="294"/>
      <c r="D810" s="294"/>
      <c r="E810" s="501"/>
      <c r="F810" s="369"/>
      <c r="G810" s="369">
        <f>G811</f>
        <v>300000000</v>
      </c>
      <c r="H810" s="369">
        <f t="shared" ref="H810:I810" si="217">SUM(H813:H825)</f>
        <v>0</v>
      </c>
      <c r="I810" s="369">
        <f t="shared" si="217"/>
        <v>0</v>
      </c>
      <c r="J810" s="369"/>
      <c r="K810" s="369">
        <f>K811</f>
        <v>300000000</v>
      </c>
      <c r="L810" s="246"/>
      <c r="M810" s="242" t="s">
        <v>893</v>
      </c>
      <c r="N810" s="293">
        <f>K810</f>
        <v>300000000</v>
      </c>
      <c r="O810" s="242"/>
    </row>
    <row r="811" spans="1:15" ht="39.75" customHeight="1" x14ac:dyDescent="0.25">
      <c r="A811" s="307" t="s">
        <v>74</v>
      </c>
      <c r="B811" s="412" t="s">
        <v>792</v>
      </c>
      <c r="C811" s="309"/>
      <c r="D811" s="309"/>
      <c r="E811" s="318"/>
      <c r="F811" s="312"/>
      <c r="G811" s="312">
        <f>190000000+110000000</f>
        <v>300000000</v>
      </c>
      <c r="H811" s="312"/>
      <c r="I811" s="312"/>
      <c r="J811" s="312"/>
      <c r="K811" s="312">
        <f>G811</f>
        <v>300000000</v>
      </c>
      <c r="L811" s="313"/>
      <c r="M811" s="242" t="s">
        <v>894</v>
      </c>
      <c r="N811" s="293"/>
    </row>
    <row r="812" spans="1:15" s="489" customFormat="1" ht="18.75" hidden="1" customHeight="1" x14ac:dyDescent="0.25">
      <c r="A812" s="333"/>
      <c r="B812" s="481" t="s">
        <v>793</v>
      </c>
      <c r="C812" s="482"/>
      <c r="D812" s="483"/>
      <c r="E812" s="484"/>
      <c r="F812" s="485"/>
      <c r="G812" s="486">
        <f>SUM(G813:G825)+G826</f>
        <v>300000000</v>
      </c>
      <c r="H812" s="486">
        <f t="shared" ref="H812:K812" si="218">SUM(H813:H825)+H826</f>
        <v>0</v>
      </c>
      <c r="I812" s="486">
        <f t="shared" si="218"/>
        <v>0</v>
      </c>
      <c r="J812" s="486"/>
      <c r="K812" s="486">
        <f t="shared" si="218"/>
        <v>300000000</v>
      </c>
      <c r="L812" s="517">
        <f>G812-H812-K812</f>
        <v>0</v>
      </c>
    </row>
    <row r="813" spans="1:15" ht="35.25" hidden="1" customHeight="1" x14ac:dyDescent="0.25">
      <c r="A813" s="307" t="s">
        <v>287</v>
      </c>
      <c r="B813" s="412" t="s">
        <v>794</v>
      </c>
      <c r="C813" s="309"/>
      <c r="D813" s="309"/>
      <c r="E813" s="318"/>
      <c r="F813" s="311"/>
      <c r="G813" s="318">
        <v>25000000</v>
      </c>
      <c r="H813" s="318"/>
      <c r="I813" s="318"/>
      <c r="J813" s="318"/>
      <c r="K813" s="318">
        <f>G813</f>
        <v>25000000</v>
      </c>
      <c r="L813" s="313"/>
    </row>
    <row r="814" spans="1:15" ht="45" hidden="1" x14ac:dyDescent="0.25">
      <c r="A814" s="307" t="s">
        <v>287</v>
      </c>
      <c r="B814" s="412" t="s">
        <v>795</v>
      </c>
      <c r="C814" s="309"/>
      <c r="D814" s="309"/>
      <c r="E814" s="318"/>
      <c r="F814" s="311"/>
      <c r="G814" s="318">
        <v>25000000</v>
      </c>
      <c r="H814" s="318"/>
      <c r="I814" s="318"/>
      <c r="J814" s="318"/>
      <c r="K814" s="318">
        <f t="shared" ref="K814:K826" si="219">G814</f>
        <v>25000000</v>
      </c>
      <c r="L814" s="313"/>
    </row>
    <row r="815" spans="1:15" ht="45" hidden="1" x14ac:dyDescent="0.25">
      <c r="A815" s="307" t="s">
        <v>287</v>
      </c>
      <c r="B815" s="412" t="s">
        <v>796</v>
      </c>
      <c r="C815" s="309"/>
      <c r="D815" s="309"/>
      <c r="E815" s="318"/>
      <c r="F815" s="311"/>
      <c r="G815" s="318">
        <v>20000000</v>
      </c>
      <c r="H815" s="318"/>
      <c r="I815" s="318"/>
      <c r="J815" s="318"/>
      <c r="K815" s="318">
        <f t="shared" si="219"/>
        <v>20000000</v>
      </c>
      <c r="L815" s="313"/>
    </row>
    <row r="816" spans="1:15" ht="45" hidden="1" x14ac:dyDescent="0.25">
      <c r="A816" s="307" t="s">
        <v>287</v>
      </c>
      <c r="B816" s="412" t="s">
        <v>797</v>
      </c>
      <c r="C816" s="309"/>
      <c r="D816" s="309"/>
      <c r="E816" s="318"/>
      <c r="F816" s="311"/>
      <c r="G816" s="318">
        <v>30000000</v>
      </c>
      <c r="H816" s="318"/>
      <c r="I816" s="318"/>
      <c r="J816" s="318"/>
      <c r="K816" s="318">
        <f t="shared" si="219"/>
        <v>30000000</v>
      </c>
      <c r="L816" s="313"/>
    </row>
    <row r="817" spans="1:12" ht="30" hidden="1" x14ac:dyDescent="0.25">
      <c r="A817" s="307" t="s">
        <v>287</v>
      </c>
      <c r="B817" s="412" t="s">
        <v>798</v>
      </c>
      <c r="C817" s="309"/>
      <c r="D817" s="309"/>
      <c r="E817" s="318"/>
      <c r="F817" s="311"/>
      <c r="G817" s="318">
        <v>0</v>
      </c>
      <c r="H817" s="318"/>
      <c r="I817" s="318"/>
      <c r="J817" s="318"/>
      <c r="K817" s="318">
        <f t="shared" si="219"/>
        <v>0</v>
      </c>
      <c r="L817" s="313"/>
    </row>
    <row r="818" spans="1:12" ht="30" hidden="1" x14ac:dyDescent="0.25">
      <c r="A818" s="307" t="s">
        <v>287</v>
      </c>
      <c r="B818" s="412" t="s">
        <v>799</v>
      </c>
      <c r="C818" s="309"/>
      <c r="D818" s="309"/>
      <c r="E818" s="318"/>
      <c r="F818" s="311"/>
      <c r="G818" s="318">
        <v>15000000</v>
      </c>
      <c r="H818" s="318"/>
      <c r="I818" s="318"/>
      <c r="J818" s="318"/>
      <c r="K818" s="318">
        <f t="shared" si="219"/>
        <v>15000000</v>
      </c>
      <c r="L818" s="313"/>
    </row>
    <row r="819" spans="1:12" ht="30" hidden="1" x14ac:dyDescent="0.25">
      <c r="A819" s="307" t="s">
        <v>287</v>
      </c>
      <c r="B819" s="412" t="s">
        <v>800</v>
      </c>
      <c r="C819" s="309"/>
      <c r="D819" s="309"/>
      <c r="E819" s="318"/>
      <c r="F819" s="311"/>
      <c r="G819" s="318">
        <v>0</v>
      </c>
      <c r="H819" s="318"/>
      <c r="I819" s="318"/>
      <c r="J819" s="318"/>
      <c r="K819" s="318">
        <f t="shared" si="219"/>
        <v>0</v>
      </c>
      <c r="L819" s="313"/>
    </row>
    <row r="820" spans="1:12" ht="48.75" hidden="1" customHeight="1" x14ac:dyDescent="0.25">
      <c r="A820" s="307" t="s">
        <v>287</v>
      </c>
      <c r="B820" s="412" t="s">
        <v>801</v>
      </c>
      <c r="C820" s="309"/>
      <c r="D820" s="309"/>
      <c r="E820" s="318"/>
      <c r="F820" s="311"/>
      <c r="G820" s="318">
        <v>20000000</v>
      </c>
      <c r="H820" s="318"/>
      <c r="I820" s="318"/>
      <c r="J820" s="318"/>
      <c r="K820" s="318">
        <f t="shared" si="219"/>
        <v>20000000</v>
      </c>
      <c r="L820" s="313"/>
    </row>
    <row r="821" spans="1:12" ht="30" hidden="1" x14ac:dyDescent="0.25">
      <c r="A821" s="307" t="s">
        <v>287</v>
      </c>
      <c r="B821" s="412" t="s">
        <v>802</v>
      </c>
      <c r="C821" s="309"/>
      <c r="D821" s="309"/>
      <c r="E821" s="318"/>
      <c r="F821" s="311"/>
      <c r="G821" s="318">
        <v>10000000</v>
      </c>
      <c r="H821" s="318"/>
      <c r="I821" s="318"/>
      <c r="J821" s="318"/>
      <c r="K821" s="318">
        <f t="shared" si="219"/>
        <v>10000000</v>
      </c>
      <c r="L821" s="313"/>
    </row>
    <row r="822" spans="1:12" hidden="1" x14ac:dyDescent="0.25">
      <c r="A822" s="307" t="s">
        <v>287</v>
      </c>
      <c r="B822" s="412" t="s">
        <v>803</v>
      </c>
      <c r="C822" s="309"/>
      <c r="D822" s="309"/>
      <c r="E822" s="318"/>
      <c r="F822" s="311"/>
      <c r="G822" s="318">
        <v>10000000</v>
      </c>
      <c r="H822" s="318"/>
      <c r="I822" s="318"/>
      <c r="J822" s="318"/>
      <c r="K822" s="318">
        <f t="shared" si="219"/>
        <v>10000000</v>
      </c>
      <c r="L822" s="313"/>
    </row>
    <row r="823" spans="1:12" hidden="1" x14ac:dyDescent="0.25">
      <c r="A823" s="307" t="s">
        <v>287</v>
      </c>
      <c r="B823" s="412" t="s">
        <v>804</v>
      </c>
      <c r="C823" s="309"/>
      <c r="D823" s="309"/>
      <c r="E823" s="318"/>
      <c r="F823" s="311"/>
      <c r="G823" s="318">
        <v>20000000</v>
      </c>
      <c r="H823" s="318"/>
      <c r="I823" s="318"/>
      <c r="J823" s="318"/>
      <c r="K823" s="318">
        <f t="shared" si="219"/>
        <v>20000000</v>
      </c>
      <c r="L823" s="313"/>
    </row>
    <row r="824" spans="1:12" ht="30" hidden="1" x14ac:dyDescent="0.25">
      <c r="A824" s="307" t="s">
        <v>287</v>
      </c>
      <c r="B824" s="412" t="s">
        <v>805</v>
      </c>
      <c r="C824" s="309"/>
      <c r="D824" s="309"/>
      <c r="E824" s="318"/>
      <c r="F824" s="311"/>
      <c r="G824" s="318">
        <v>15000000</v>
      </c>
      <c r="H824" s="318"/>
      <c r="I824" s="318"/>
      <c r="J824" s="318"/>
      <c r="K824" s="318">
        <f t="shared" si="219"/>
        <v>15000000</v>
      </c>
      <c r="L824" s="313"/>
    </row>
    <row r="825" spans="1:12" ht="33" hidden="1" customHeight="1" x14ac:dyDescent="0.25">
      <c r="A825" s="307" t="s">
        <v>287</v>
      </c>
      <c r="B825" s="412" t="s">
        <v>806</v>
      </c>
      <c r="C825" s="309"/>
      <c r="D825" s="309"/>
      <c r="E825" s="318"/>
      <c r="F825" s="311"/>
      <c r="G825" s="318">
        <v>0</v>
      </c>
      <c r="H825" s="318"/>
      <c r="I825" s="318"/>
      <c r="J825" s="318"/>
      <c r="K825" s="318">
        <f t="shared" si="219"/>
        <v>0</v>
      </c>
      <c r="L825" s="313"/>
    </row>
    <row r="826" spans="1:12" ht="22.5" hidden="1" customHeight="1" x14ac:dyDescent="0.25">
      <c r="A826" s="307" t="s">
        <v>287</v>
      </c>
      <c r="B826" s="412" t="s">
        <v>916</v>
      </c>
      <c r="C826" s="309"/>
      <c r="D826" s="309"/>
      <c r="E826" s="318"/>
      <c r="F826" s="311"/>
      <c r="G826" s="318">
        <v>110000000</v>
      </c>
      <c r="H826" s="318"/>
      <c r="I826" s="318"/>
      <c r="J826" s="318"/>
      <c r="K826" s="318">
        <f t="shared" si="219"/>
        <v>110000000</v>
      </c>
      <c r="L826" s="313"/>
    </row>
    <row r="828" spans="1:12" s="351" customFormat="1" ht="18" customHeight="1" x14ac:dyDescent="0.25">
      <c r="B828" s="700" t="s">
        <v>922</v>
      </c>
      <c r="C828" s="701"/>
      <c r="D828" s="701"/>
      <c r="E828" s="702"/>
      <c r="F828" s="703"/>
      <c r="G828" s="702"/>
      <c r="H828" s="702"/>
      <c r="I828" s="702"/>
      <c r="J828" s="702"/>
      <c r="K828" s="702"/>
    </row>
    <row r="829" spans="1:12" ht="23.25" customHeight="1" x14ac:dyDescent="0.25">
      <c r="B829" s="919" t="s">
        <v>923</v>
      </c>
      <c r="C829" s="919"/>
      <c r="D829" s="919"/>
      <c r="E829" s="919"/>
      <c r="F829" s="919"/>
      <c r="G829" s="919"/>
      <c r="H829" s="919"/>
      <c r="I829" s="919"/>
      <c r="J829" s="919"/>
      <c r="K829" s="919"/>
      <c r="L829" s="532"/>
    </row>
    <row r="830" spans="1:12" ht="23.25" customHeight="1" x14ac:dyDescent="0.25">
      <c r="B830" s="919" t="s">
        <v>924</v>
      </c>
      <c r="C830" s="919"/>
      <c r="D830" s="919"/>
      <c r="E830" s="919"/>
      <c r="F830" s="919"/>
      <c r="G830" s="919"/>
      <c r="H830" s="919"/>
      <c r="I830" s="919"/>
      <c r="J830" s="919"/>
      <c r="K830" s="919"/>
    </row>
    <row r="831" spans="1:12" ht="42" customHeight="1" x14ac:dyDescent="0.25">
      <c r="B831" s="920" t="s">
        <v>925</v>
      </c>
      <c r="C831" s="920"/>
      <c r="D831" s="920"/>
      <c r="E831" s="920"/>
      <c r="F831" s="920"/>
      <c r="G831" s="920"/>
      <c r="H831" s="920"/>
      <c r="I831" s="920"/>
      <c r="J831" s="920"/>
      <c r="K831" s="920"/>
    </row>
  </sheetData>
  <mergeCells count="22">
    <mergeCell ref="A3:L3"/>
    <mergeCell ref="M52:N52"/>
    <mergeCell ref="A2:L2"/>
    <mergeCell ref="A1:L1"/>
    <mergeCell ref="G5:G7"/>
    <mergeCell ref="H5:H7"/>
    <mergeCell ref="I5:I7"/>
    <mergeCell ref="K5:K7"/>
    <mergeCell ref="L5:L7"/>
    <mergeCell ref="H4:K4"/>
    <mergeCell ref="A5:A7"/>
    <mergeCell ref="B5:B7"/>
    <mergeCell ref="C5:C7"/>
    <mergeCell ref="D5:D7"/>
    <mergeCell ref="E5:E7"/>
    <mergeCell ref="M233:N233"/>
    <mergeCell ref="F5:F7"/>
    <mergeCell ref="B829:K829"/>
    <mergeCell ref="B830:K830"/>
    <mergeCell ref="B831:K831"/>
    <mergeCell ref="L216:L220"/>
    <mergeCell ref="J5:J7"/>
  </mergeCells>
  <pageMargins left="0.4" right="0.16" top="0.37" bottom="0.47" header="0.3" footer="0.2"/>
  <pageSetup paperSize="9" scale="87" firstPageNumber="18" orientation="landscape" useFirstPageNumber="1" verticalDpi="0" r:id="rId1"/>
  <headerFooter>
    <oddFooter>&amp;C&amp;P</oddFooter>
  </headerFooter>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99"/>
  <sheetViews>
    <sheetView view="pageBreakPreview" zoomScaleNormal="100" zoomScaleSheetLayoutView="100" workbookViewId="0">
      <selection activeCell="D56" sqref="D56"/>
    </sheetView>
  </sheetViews>
  <sheetFormatPr defaultColWidth="9" defaultRowHeight="15.75" x14ac:dyDescent="0.25"/>
  <cols>
    <col min="1" max="1" width="6.140625" style="745" customWidth="1"/>
    <col min="2" max="2" width="28.140625" style="745" customWidth="1"/>
    <col min="3" max="3" width="15" style="745" customWidth="1"/>
    <col min="4" max="4" width="15.28515625" style="745" customWidth="1"/>
    <col min="5" max="5" width="15.140625" style="745" customWidth="1"/>
    <col min="6" max="6" width="6.28515625" style="745" customWidth="1"/>
    <col min="7" max="7" width="9" style="745"/>
    <col min="8" max="8" width="18.140625" style="745" customWidth="1"/>
    <col min="9" max="16384" width="9" style="745"/>
  </cols>
  <sheetData>
    <row r="1" spans="1:6" x14ac:dyDescent="0.25">
      <c r="A1" s="931" t="s">
        <v>418</v>
      </c>
      <c r="B1" s="931"/>
      <c r="C1" s="931"/>
      <c r="D1" s="931"/>
      <c r="E1" s="931"/>
      <c r="F1" s="931"/>
    </row>
    <row r="2" spans="1:6" ht="21.75" customHeight="1" x14ac:dyDescent="0.25">
      <c r="A2" s="931" t="s">
        <v>914</v>
      </c>
      <c r="B2" s="931"/>
      <c r="C2" s="931"/>
      <c r="D2" s="931"/>
      <c r="E2" s="931"/>
      <c r="F2" s="931"/>
    </row>
    <row r="3" spans="1:6" ht="21.75" customHeight="1" x14ac:dyDescent="0.25">
      <c r="A3" s="932" t="str">
        <f>'Biểu 02'!A3:L3</f>
        <v>(Kèm theo Nghị quyết số: 33 /NQ-HĐND ngày  19/12/2025 của HĐND xã Cao Minh)</v>
      </c>
      <c r="B3" s="932"/>
      <c r="C3" s="932"/>
      <c r="D3" s="932"/>
      <c r="E3" s="932"/>
      <c r="F3" s="932"/>
    </row>
    <row r="4" spans="1:6" ht="24" customHeight="1" x14ac:dyDescent="0.25">
      <c r="D4" s="933" t="s">
        <v>856</v>
      </c>
      <c r="E4" s="933"/>
      <c r="F4" s="933"/>
    </row>
    <row r="5" spans="1:6" s="746" customFormat="1" ht="87" customHeight="1" x14ac:dyDescent="0.25">
      <c r="A5" s="13" t="s">
        <v>0</v>
      </c>
      <c r="B5" s="13" t="s">
        <v>857</v>
      </c>
      <c r="C5" s="13" t="s">
        <v>858</v>
      </c>
      <c r="D5" s="13" t="s">
        <v>928</v>
      </c>
      <c r="E5" s="13" t="s">
        <v>859</v>
      </c>
      <c r="F5" s="13" t="s">
        <v>264</v>
      </c>
    </row>
    <row r="6" spans="1:6" ht="19.5" customHeight="1" x14ac:dyDescent="0.25">
      <c r="A6" s="747">
        <v>1</v>
      </c>
      <c r="B6" s="747">
        <v>2</v>
      </c>
      <c r="C6" s="747">
        <v>3</v>
      </c>
      <c r="D6" s="747">
        <v>4</v>
      </c>
      <c r="E6" s="747">
        <v>5</v>
      </c>
      <c r="F6" s="747">
        <v>6</v>
      </c>
    </row>
    <row r="7" spans="1:6" s="744" customFormat="1" ht="26.25" customHeight="1" x14ac:dyDescent="0.25">
      <c r="A7" s="748"/>
      <c r="B7" s="748" t="s">
        <v>234</v>
      </c>
      <c r="C7" s="749">
        <f>C8</f>
        <v>32910000000</v>
      </c>
      <c r="D7" s="749">
        <f t="shared" ref="D7:E7" si="0">D8</f>
        <v>948350000</v>
      </c>
      <c r="E7" s="749">
        <f t="shared" si="0"/>
        <v>31961650000</v>
      </c>
      <c r="F7" s="748"/>
    </row>
    <row r="8" spans="1:6" s="744" customFormat="1" ht="26.25" customHeight="1" x14ac:dyDescent="0.25">
      <c r="A8" s="748" t="s">
        <v>6</v>
      </c>
      <c r="B8" s="750" t="s">
        <v>860</v>
      </c>
      <c r="C8" s="749">
        <f>SUM(C9:C18)</f>
        <v>32910000000</v>
      </c>
      <c r="D8" s="749">
        <f t="shared" ref="D8:E8" si="1">SUM(D9:D18)</f>
        <v>948350000</v>
      </c>
      <c r="E8" s="749">
        <f t="shared" si="1"/>
        <v>31961650000</v>
      </c>
      <c r="F8" s="748"/>
    </row>
    <row r="9" spans="1:6" s="744" customFormat="1" ht="23.25" customHeight="1" x14ac:dyDescent="0.25">
      <c r="A9" s="751">
        <v>1</v>
      </c>
      <c r="B9" s="33" t="s">
        <v>728</v>
      </c>
      <c r="C9" s="752">
        <f>C21+C25+C29+C39+C71+C81</f>
        <v>3146378000</v>
      </c>
      <c r="D9" s="752">
        <f t="shared" ref="D9:E9" si="2">D21+D25+D29+D39+D71+D81</f>
        <v>104048000</v>
      </c>
      <c r="E9" s="752">
        <f t="shared" si="2"/>
        <v>3042330000</v>
      </c>
      <c r="F9" s="748"/>
    </row>
    <row r="10" spans="1:6" s="744" customFormat="1" ht="23.25" customHeight="1" x14ac:dyDescent="0.25">
      <c r="A10" s="751">
        <v>2</v>
      </c>
      <c r="B10" s="33" t="s">
        <v>748</v>
      </c>
      <c r="C10" s="752">
        <f t="shared" ref="C10:E11" si="3">C22+C26+C30+C40+C72+C82</f>
        <v>1814146000</v>
      </c>
      <c r="D10" s="752">
        <f t="shared" si="3"/>
        <v>66528000</v>
      </c>
      <c r="E10" s="752">
        <f t="shared" si="3"/>
        <v>1747618000</v>
      </c>
      <c r="F10" s="748"/>
    </row>
    <row r="11" spans="1:6" s="744" customFormat="1" ht="23.25" customHeight="1" x14ac:dyDescent="0.25">
      <c r="A11" s="751">
        <v>3</v>
      </c>
      <c r="B11" s="33" t="s">
        <v>754</v>
      </c>
      <c r="C11" s="752">
        <f t="shared" si="3"/>
        <v>1138318000</v>
      </c>
      <c r="D11" s="752">
        <f t="shared" si="3"/>
        <v>47779000</v>
      </c>
      <c r="E11" s="752">
        <f t="shared" si="3"/>
        <v>1090539000</v>
      </c>
      <c r="F11" s="748"/>
    </row>
    <row r="12" spans="1:6" s="744" customFormat="1" ht="23.25" customHeight="1" x14ac:dyDescent="0.25">
      <c r="A12" s="751">
        <v>4</v>
      </c>
      <c r="B12" s="33" t="s">
        <v>861</v>
      </c>
      <c r="C12" s="752">
        <f>C32+C42+C74+C84+C91+C95</f>
        <v>8172521000</v>
      </c>
      <c r="D12" s="752">
        <f t="shared" ref="D12:E14" si="4">D32+D42+D74+D84+D91+D95</f>
        <v>173120000</v>
      </c>
      <c r="E12" s="752">
        <f t="shared" si="4"/>
        <v>7999401000</v>
      </c>
      <c r="F12" s="748"/>
    </row>
    <row r="13" spans="1:6" s="744" customFormat="1" ht="23.25" customHeight="1" x14ac:dyDescent="0.25">
      <c r="A13" s="751">
        <v>5</v>
      </c>
      <c r="B13" s="33" t="s">
        <v>862</v>
      </c>
      <c r="C13" s="752">
        <f>C33+C43+C75+C85+C92+C96</f>
        <v>4754982000</v>
      </c>
      <c r="D13" s="752">
        <f t="shared" si="4"/>
        <v>154592000</v>
      </c>
      <c r="E13" s="752">
        <f t="shared" si="4"/>
        <v>4600390000</v>
      </c>
      <c r="F13" s="748"/>
    </row>
    <row r="14" spans="1:6" s="744" customFormat="1" ht="23.25" customHeight="1" x14ac:dyDescent="0.25">
      <c r="A14" s="751">
        <v>6</v>
      </c>
      <c r="B14" s="33" t="s">
        <v>863</v>
      </c>
      <c r="C14" s="752">
        <f>C34+C44+C76+C86+C93+C97</f>
        <v>2697804000</v>
      </c>
      <c r="D14" s="752">
        <f t="shared" si="4"/>
        <v>86512000</v>
      </c>
      <c r="E14" s="752">
        <f t="shared" si="4"/>
        <v>2611292000</v>
      </c>
      <c r="F14" s="748"/>
    </row>
    <row r="15" spans="1:6" s="744" customFormat="1" ht="23.25" customHeight="1" x14ac:dyDescent="0.25">
      <c r="A15" s="751">
        <v>7</v>
      </c>
      <c r="B15" s="33" t="s">
        <v>781</v>
      </c>
      <c r="C15" s="752">
        <f>C35+C45+C77+C87</f>
        <v>4961878000</v>
      </c>
      <c r="D15" s="752">
        <f t="shared" ref="D15:E15" si="5">D35+D45+D77+D87</f>
        <v>138996000</v>
      </c>
      <c r="E15" s="752">
        <f t="shared" si="5"/>
        <v>4822882000</v>
      </c>
      <c r="F15" s="748"/>
    </row>
    <row r="16" spans="1:6" s="744" customFormat="1" ht="23.25" customHeight="1" x14ac:dyDescent="0.25">
      <c r="A16" s="751">
        <v>8</v>
      </c>
      <c r="B16" s="33" t="s">
        <v>784</v>
      </c>
      <c r="C16" s="752">
        <f t="shared" ref="C16:E17" si="6">C36+C46+C78+C88</f>
        <v>3140792000</v>
      </c>
      <c r="D16" s="752">
        <f t="shared" si="6"/>
        <v>105462000</v>
      </c>
      <c r="E16" s="752">
        <f t="shared" si="6"/>
        <v>3035330000</v>
      </c>
      <c r="F16" s="748"/>
    </row>
    <row r="17" spans="1:9" s="744" customFormat="1" ht="39" customHeight="1" x14ac:dyDescent="0.25">
      <c r="A17" s="751">
        <v>9</v>
      </c>
      <c r="B17" s="33" t="s">
        <v>787</v>
      </c>
      <c r="C17" s="752">
        <f t="shared" si="6"/>
        <v>1948805000</v>
      </c>
      <c r="D17" s="752">
        <f t="shared" si="6"/>
        <v>71313000</v>
      </c>
      <c r="E17" s="752">
        <f t="shared" si="6"/>
        <v>1877492000</v>
      </c>
      <c r="F17" s="748"/>
    </row>
    <row r="18" spans="1:9" s="744" customFormat="1" ht="24.75" customHeight="1" x14ac:dyDescent="0.25">
      <c r="A18" s="751">
        <v>10</v>
      </c>
      <c r="B18" s="33" t="s">
        <v>197</v>
      </c>
      <c r="C18" s="752">
        <f>C48+C99</f>
        <v>1134376000</v>
      </c>
      <c r="D18" s="752">
        <f>D48+D99</f>
        <v>0</v>
      </c>
      <c r="E18" s="752">
        <f>E48+E99</f>
        <v>1134376000</v>
      </c>
      <c r="F18" s="748"/>
    </row>
    <row r="19" spans="1:9" s="744" customFormat="1" ht="37.5" customHeight="1" x14ac:dyDescent="0.25">
      <c r="A19" s="748" t="s">
        <v>7</v>
      </c>
      <c r="B19" s="27" t="s">
        <v>864</v>
      </c>
      <c r="C19" s="749">
        <f>C20+C24+C28+C38+C70+C80+C90+C94+C98</f>
        <v>32910000000</v>
      </c>
      <c r="D19" s="749">
        <f t="shared" ref="D19:E19" si="7">D20+D24+D28+D38+D70+D80+D90+D94+D98</f>
        <v>948350000</v>
      </c>
      <c r="E19" s="749">
        <f t="shared" si="7"/>
        <v>31961650000</v>
      </c>
      <c r="F19" s="748"/>
    </row>
    <row r="20" spans="1:9" s="744" customFormat="1" ht="37.5" customHeight="1" x14ac:dyDescent="0.25">
      <c r="A20" s="748" t="s">
        <v>23</v>
      </c>
      <c r="B20" s="27" t="s">
        <v>734</v>
      </c>
      <c r="C20" s="749">
        <f>SUM(C21:C23)</f>
        <v>1504000000</v>
      </c>
      <c r="D20" s="749">
        <f t="shared" ref="D20:E20" si="8">SUM(D21:D23)</f>
        <v>0</v>
      </c>
      <c r="E20" s="749">
        <f t="shared" si="8"/>
        <v>1504000000</v>
      </c>
      <c r="F20" s="748"/>
    </row>
    <row r="21" spans="1:9" ht="21.75" customHeight="1" x14ac:dyDescent="0.25">
      <c r="A21" s="751">
        <v>1</v>
      </c>
      <c r="B21" s="33" t="s">
        <v>728</v>
      </c>
      <c r="C21" s="752">
        <f>'Biểu 02'!G406</f>
        <v>680450000</v>
      </c>
      <c r="D21" s="753"/>
      <c r="E21" s="753">
        <f>C21-D21</f>
        <v>680450000</v>
      </c>
      <c r="F21" s="751"/>
    </row>
    <row r="22" spans="1:9" ht="21.75" customHeight="1" x14ac:dyDescent="0.25">
      <c r="A22" s="751">
        <v>2</v>
      </c>
      <c r="B22" s="33" t="s">
        <v>748</v>
      </c>
      <c r="C22" s="752">
        <f>'Biểu 02'!G446</f>
        <v>495680000</v>
      </c>
      <c r="D22" s="753"/>
      <c r="E22" s="753">
        <f t="shared" ref="E22:E23" si="9">C22-D22</f>
        <v>495680000</v>
      </c>
      <c r="F22" s="751"/>
    </row>
    <row r="23" spans="1:9" ht="21.75" customHeight="1" x14ac:dyDescent="0.25">
      <c r="A23" s="751">
        <v>3</v>
      </c>
      <c r="B23" s="33" t="s">
        <v>754</v>
      </c>
      <c r="C23" s="752">
        <f>'Biểu 02'!G488</f>
        <v>327870000</v>
      </c>
      <c r="D23" s="753"/>
      <c r="E23" s="753">
        <f t="shared" si="9"/>
        <v>327870000</v>
      </c>
      <c r="F23" s="751"/>
    </row>
    <row r="24" spans="1:9" s="744" customFormat="1" ht="52.5" customHeight="1" x14ac:dyDescent="0.25">
      <c r="A24" s="748" t="s">
        <v>27</v>
      </c>
      <c r="B24" s="27" t="s">
        <v>735</v>
      </c>
      <c r="C24" s="749">
        <f>SUM(C25:C27)</f>
        <v>1144000000</v>
      </c>
      <c r="D24" s="749">
        <f t="shared" ref="D24:E24" si="10">SUM(D25:D27)</f>
        <v>0</v>
      </c>
      <c r="E24" s="749">
        <f t="shared" si="10"/>
        <v>1144000000</v>
      </c>
      <c r="F24" s="748"/>
    </row>
    <row r="25" spans="1:9" ht="22.5" customHeight="1" x14ac:dyDescent="0.25">
      <c r="A25" s="751">
        <v>1</v>
      </c>
      <c r="B25" s="33" t="s">
        <v>728</v>
      </c>
      <c r="C25" s="752">
        <f>'Biểu 02'!G407</f>
        <v>442800000</v>
      </c>
      <c r="D25" s="753"/>
      <c r="E25" s="753">
        <f>C25-D25</f>
        <v>442800000</v>
      </c>
      <c r="F25" s="751"/>
    </row>
    <row r="26" spans="1:9" ht="22.5" customHeight="1" x14ac:dyDescent="0.25">
      <c r="A26" s="751">
        <v>2</v>
      </c>
      <c r="B26" s="33" t="s">
        <v>748</v>
      </c>
      <c r="C26" s="752">
        <f>'Biểu 02'!G447</f>
        <v>406000000</v>
      </c>
      <c r="D26" s="753"/>
      <c r="E26" s="753">
        <f t="shared" ref="E26:E27" si="11">C26-D26</f>
        <v>406000000</v>
      </c>
      <c r="F26" s="751"/>
    </row>
    <row r="27" spans="1:9" ht="22.5" customHeight="1" x14ac:dyDescent="0.25">
      <c r="A27" s="751">
        <v>3</v>
      </c>
      <c r="B27" s="33" t="s">
        <v>754</v>
      </c>
      <c r="C27" s="752">
        <f>'Biểu 02'!G490</f>
        <v>295200000</v>
      </c>
      <c r="D27" s="753"/>
      <c r="E27" s="753">
        <f t="shared" si="11"/>
        <v>295200000</v>
      </c>
      <c r="F27" s="751"/>
    </row>
    <row r="28" spans="1:9" s="744" customFormat="1" ht="64.5" customHeight="1" x14ac:dyDescent="0.25">
      <c r="A28" s="748" t="s">
        <v>31</v>
      </c>
      <c r="B28" s="27" t="s">
        <v>763</v>
      </c>
      <c r="C28" s="749">
        <f>SUM(C29:C37)</f>
        <v>2150000000</v>
      </c>
      <c r="D28" s="749">
        <f t="shared" ref="D28" si="12">SUM(D29:D31)</f>
        <v>0</v>
      </c>
      <c r="E28" s="749">
        <f>SUM(E29:E37)</f>
        <v>2150000000</v>
      </c>
      <c r="F28" s="748"/>
    </row>
    <row r="29" spans="1:9" ht="21.75" customHeight="1" x14ac:dyDescent="0.25">
      <c r="A29" s="751">
        <v>1</v>
      </c>
      <c r="B29" s="33" t="s">
        <v>728</v>
      </c>
      <c r="C29" s="752">
        <f>'Biểu 02'!G408</f>
        <v>89240000</v>
      </c>
      <c r="D29" s="753"/>
      <c r="E29" s="753">
        <f>C29-D29</f>
        <v>89240000</v>
      </c>
      <c r="F29" s="751"/>
      <c r="I29" s="754"/>
    </row>
    <row r="30" spans="1:9" ht="21.75" customHeight="1" x14ac:dyDescent="0.25">
      <c r="A30" s="751">
        <v>2</v>
      </c>
      <c r="B30" s="33" t="s">
        <v>748</v>
      </c>
      <c r="C30" s="752">
        <f>'Biểu 02'!G448</f>
        <v>35696000</v>
      </c>
      <c r="D30" s="753"/>
      <c r="E30" s="753">
        <f t="shared" ref="E30:E37" si="13">C30-D30</f>
        <v>35696000</v>
      </c>
      <c r="F30" s="751"/>
      <c r="I30" s="754"/>
    </row>
    <row r="31" spans="1:9" ht="21.75" customHeight="1" x14ac:dyDescent="0.25">
      <c r="A31" s="751">
        <v>3</v>
      </c>
      <c r="B31" s="33" t="s">
        <v>754</v>
      </c>
      <c r="C31" s="752">
        <f>'Biểu 02'!G491</f>
        <v>35696000</v>
      </c>
      <c r="D31" s="753"/>
      <c r="E31" s="753">
        <f t="shared" si="13"/>
        <v>35696000</v>
      </c>
      <c r="F31" s="751"/>
      <c r="I31" s="754"/>
    </row>
    <row r="32" spans="1:9" ht="21.75" customHeight="1" x14ac:dyDescent="0.25">
      <c r="A32" s="751">
        <v>4</v>
      </c>
      <c r="B32" s="33" t="s">
        <v>861</v>
      </c>
      <c r="C32" s="752">
        <f>'Biểu 02'!G532</f>
        <v>713664000</v>
      </c>
      <c r="D32" s="753"/>
      <c r="E32" s="753">
        <f t="shared" si="13"/>
        <v>713664000</v>
      </c>
      <c r="F32" s="751"/>
      <c r="I32" s="754"/>
    </row>
    <row r="33" spans="1:9" ht="21.75" customHeight="1" x14ac:dyDescent="0.25">
      <c r="A33" s="751">
        <v>5</v>
      </c>
      <c r="B33" s="33" t="s">
        <v>862</v>
      </c>
      <c r="C33" s="752">
        <f>'Biểu 02'!G582</f>
        <v>428352000</v>
      </c>
      <c r="D33" s="753"/>
      <c r="E33" s="753">
        <f t="shared" si="13"/>
        <v>428352000</v>
      </c>
      <c r="F33" s="751"/>
      <c r="I33" s="754"/>
    </row>
    <row r="34" spans="1:9" ht="21.75" customHeight="1" x14ac:dyDescent="0.25">
      <c r="A34" s="751">
        <v>6</v>
      </c>
      <c r="B34" s="33" t="s">
        <v>863</v>
      </c>
      <c r="C34" s="752">
        <f>'Biểu 02'!G632</f>
        <v>321264000</v>
      </c>
      <c r="D34" s="753"/>
      <c r="E34" s="753">
        <f t="shared" si="13"/>
        <v>321264000</v>
      </c>
      <c r="F34" s="751"/>
      <c r="I34" s="754"/>
    </row>
    <row r="35" spans="1:9" ht="21.75" customHeight="1" x14ac:dyDescent="0.25">
      <c r="A35" s="751">
        <v>7</v>
      </c>
      <c r="B35" s="33" t="s">
        <v>781</v>
      </c>
      <c r="C35" s="752">
        <f>'Biểu 02'!G688</f>
        <v>419000000</v>
      </c>
      <c r="D35" s="753"/>
      <c r="E35" s="753">
        <f t="shared" si="13"/>
        <v>419000000</v>
      </c>
      <c r="F35" s="751"/>
      <c r="I35" s="754"/>
    </row>
    <row r="36" spans="1:9" ht="21.75" customHeight="1" x14ac:dyDescent="0.25">
      <c r="A36" s="751">
        <v>8</v>
      </c>
      <c r="B36" s="33" t="s">
        <v>784</v>
      </c>
      <c r="C36" s="752">
        <f>'Biểu 02'!G731</f>
        <v>71392000</v>
      </c>
      <c r="D36" s="753"/>
      <c r="E36" s="753">
        <f t="shared" si="13"/>
        <v>71392000</v>
      </c>
      <c r="F36" s="751"/>
      <c r="I36" s="754"/>
    </row>
    <row r="37" spans="1:9" ht="39.75" customHeight="1" x14ac:dyDescent="0.25">
      <c r="A37" s="751">
        <v>9</v>
      </c>
      <c r="B37" s="33" t="s">
        <v>787</v>
      </c>
      <c r="C37" s="752">
        <f>'Biểu 02'!G773</f>
        <v>35696000</v>
      </c>
      <c r="D37" s="753"/>
      <c r="E37" s="753">
        <f t="shared" si="13"/>
        <v>35696000</v>
      </c>
      <c r="F37" s="751"/>
      <c r="I37" s="754"/>
    </row>
    <row r="38" spans="1:9" s="744" customFormat="1" ht="39.75" customHeight="1" x14ac:dyDescent="0.25">
      <c r="A38" s="748" t="s">
        <v>33</v>
      </c>
      <c r="B38" s="27" t="s">
        <v>613</v>
      </c>
      <c r="C38" s="749">
        <f>SUM(C39:C48)</f>
        <v>7345000000</v>
      </c>
      <c r="D38" s="749">
        <f t="shared" ref="D38:E38" si="14">SUM(D39:D48)</f>
        <v>948350000</v>
      </c>
      <c r="E38" s="749">
        <f t="shared" si="14"/>
        <v>6396650000</v>
      </c>
      <c r="F38" s="748"/>
      <c r="I38" s="754"/>
    </row>
    <row r="39" spans="1:9" ht="23.25" customHeight="1" x14ac:dyDescent="0.25">
      <c r="A39" s="751">
        <v>1</v>
      </c>
      <c r="B39" s="33" t="s">
        <v>728</v>
      </c>
      <c r="C39" s="752">
        <f>C50+C60</f>
        <v>731870000</v>
      </c>
      <c r="D39" s="752">
        <f>D50+D60</f>
        <v>104048000</v>
      </c>
      <c r="E39" s="753">
        <f>C39-D39</f>
        <v>627822000</v>
      </c>
      <c r="F39" s="751"/>
      <c r="I39" s="754"/>
    </row>
    <row r="40" spans="1:9" ht="23.25" customHeight="1" x14ac:dyDescent="0.25">
      <c r="A40" s="751">
        <v>2</v>
      </c>
      <c r="B40" s="33" t="s">
        <v>748</v>
      </c>
      <c r="C40" s="752">
        <f t="shared" ref="C40:D47" si="15">C51+C61</f>
        <v>468570000</v>
      </c>
      <c r="D40" s="752">
        <f t="shared" si="15"/>
        <v>66528000</v>
      </c>
      <c r="E40" s="753">
        <f t="shared" ref="E40:E48" si="16">C40-D40</f>
        <v>402042000</v>
      </c>
      <c r="F40" s="751"/>
      <c r="I40" s="754"/>
    </row>
    <row r="41" spans="1:9" ht="23.25" customHeight="1" x14ac:dyDescent="0.25">
      <c r="A41" s="751">
        <v>3</v>
      </c>
      <c r="B41" s="33" t="s">
        <v>754</v>
      </c>
      <c r="C41" s="752">
        <f t="shared" si="15"/>
        <v>312048000</v>
      </c>
      <c r="D41" s="752">
        <f t="shared" si="15"/>
        <v>47779000</v>
      </c>
      <c r="E41" s="753">
        <f t="shared" si="16"/>
        <v>264269000</v>
      </c>
      <c r="F41" s="751"/>
      <c r="I41" s="754"/>
    </row>
    <row r="42" spans="1:9" ht="23.25" customHeight="1" x14ac:dyDescent="0.25">
      <c r="A42" s="751">
        <v>4</v>
      </c>
      <c r="B42" s="33" t="s">
        <v>861</v>
      </c>
      <c r="C42" s="752">
        <f t="shared" si="15"/>
        <v>1215800000</v>
      </c>
      <c r="D42" s="752">
        <f t="shared" si="15"/>
        <v>173120000</v>
      </c>
      <c r="E42" s="753">
        <f t="shared" si="16"/>
        <v>1042680000</v>
      </c>
      <c r="F42" s="751"/>
      <c r="I42" s="754"/>
    </row>
    <row r="43" spans="1:9" ht="23.25" customHeight="1" x14ac:dyDescent="0.25">
      <c r="A43" s="751">
        <v>5</v>
      </c>
      <c r="B43" s="33" t="s">
        <v>862</v>
      </c>
      <c r="C43" s="752">
        <f t="shared" si="15"/>
        <v>1088480000</v>
      </c>
      <c r="D43" s="752">
        <f t="shared" si="15"/>
        <v>154592000</v>
      </c>
      <c r="E43" s="753">
        <f t="shared" si="16"/>
        <v>933888000</v>
      </c>
      <c r="F43" s="751"/>
      <c r="I43" s="754"/>
    </row>
    <row r="44" spans="1:9" ht="23.25" customHeight="1" x14ac:dyDescent="0.25">
      <c r="A44" s="751">
        <v>6</v>
      </c>
      <c r="B44" s="33" t="s">
        <v>863</v>
      </c>
      <c r="C44" s="752">
        <f t="shared" si="15"/>
        <v>609130000</v>
      </c>
      <c r="D44" s="752">
        <f t="shared" si="15"/>
        <v>86512000</v>
      </c>
      <c r="E44" s="753">
        <f t="shared" si="16"/>
        <v>522618000</v>
      </c>
      <c r="F44" s="751"/>
      <c r="I44" s="754"/>
    </row>
    <row r="45" spans="1:9" ht="23.25" customHeight="1" x14ac:dyDescent="0.25">
      <c r="A45" s="751">
        <v>7</v>
      </c>
      <c r="B45" s="33" t="s">
        <v>781</v>
      </c>
      <c r="C45" s="752">
        <f t="shared" si="15"/>
        <v>879990000</v>
      </c>
      <c r="D45" s="752">
        <f t="shared" si="15"/>
        <v>138996000</v>
      </c>
      <c r="E45" s="753">
        <f t="shared" si="16"/>
        <v>740994000</v>
      </c>
      <c r="F45" s="751"/>
      <c r="I45" s="754"/>
    </row>
    <row r="46" spans="1:9" ht="23.25" customHeight="1" x14ac:dyDescent="0.25">
      <c r="A46" s="751">
        <v>8</v>
      </c>
      <c r="B46" s="33" t="s">
        <v>784</v>
      </c>
      <c r="C46" s="752">
        <f t="shared" si="15"/>
        <v>688905000</v>
      </c>
      <c r="D46" s="752">
        <f t="shared" si="15"/>
        <v>105462000</v>
      </c>
      <c r="E46" s="753">
        <f t="shared" si="16"/>
        <v>583443000</v>
      </c>
      <c r="F46" s="751"/>
      <c r="I46" s="754"/>
    </row>
    <row r="47" spans="1:9" ht="38.25" customHeight="1" x14ac:dyDescent="0.25">
      <c r="A47" s="751">
        <v>9</v>
      </c>
      <c r="B47" s="33" t="s">
        <v>787</v>
      </c>
      <c r="C47" s="752">
        <f t="shared" si="15"/>
        <v>465831000</v>
      </c>
      <c r="D47" s="752">
        <f t="shared" si="15"/>
        <v>71313000</v>
      </c>
      <c r="E47" s="753">
        <f t="shared" si="16"/>
        <v>394518000</v>
      </c>
      <c r="F47" s="751"/>
      <c r="I47" s="754"/>
    </row>
    <row r="48" spans="1:9" ht="27.75" customHeight="1" x14ac:dyDescent="0.25">
      <c r="A48" s="751">
        <v>10</v>
      </c>
      <c r="B48" s="33" t="s">
        <v>197</v>
      </c>
      <c r="C48" s="752">
        <f>C69</f>
        <v>884376000</v>
      </c>
      <c r="D48" s="752"/>
      <c r="E48" s="753">
        <f t="shared" si="16"/>
        <v>884376000</v>
      </c>
      <c r="F48" s="751"/>
      <c r="I48" s="754"/>
    </row>
    <row r="49" spans="1:9" s="758" customFormat="1" ht="25.5" customHeight="1" x14ac:dyDescent="0.25">
      <c r="A49" s="755" t="s">
        <v>865</v>
      </c>
      <c r="B49" s="756" t="s">
        <v>737</v>
      </c>
      <c r="C49" s="757">
        <f>SUM(C50:C58)</f>
        <v>4089750000</v>
      </c>
      <c r="D49" s="757">
        <f t="shared" ref="D49:E49" si="17">SUM(D50:D58)</f>
        <v>0</v>
      </c>
      <c r="E49" s="757">
        <f t="shared" si="17"/>
        <v>4089750000</v>
      </c>
      <c r="F49" s="755"/>
      <c r="I49" s="754"/>
    </row>
    <row r="50" spans="1:9" ht="24" customHeight="1" x14ac:dyDescent="0.25">
      <c r="A50" s="751">
        <v>1</v>
      </c>
      <c r="B50" s="33" t="s">
        <v>728</v>
      </c>
      <c r="C50" s="752">
        <f>'Biểu 02'!G410</f>
        <v>471750000</v>
      </c>
      <c r="D50" s="753"/>
      <c r="E50" s="753">
        <f t="shared" ref="E50:E58" si="18">C50-D50</f>
        <v>471750000</v>
      </c>
      <c r="F50" s="751"/>
      <c r="I50" s="754"/>
    </row>
    <row r="51" spans="1:9" ht="24" customHeight="1" x14ac:dyDescent="0.25">
      <c r="A51" s="751">
        <v>2</v>
      </c>
      <c r="B51" s="33" t="s">
        <v>748</v>
      </c>
      <c r="C51" s="752">
        <f>'Biểu 02'!G450</f>
        <v>302250000</v>
      </c>
      <c r="D51" s="753"/>
      <c r="E51" s="753">
        <f t="shared" si="18"/>
        <v>302250000</v>
      </c>
      <c r="F51" s="751"/>
      <c r="I51" s="754"/>
    </row>
    <row r="52" spans="1:9" ht="24" customHeight="1" x14ac:dyDescent="0.25">
      <c r="A52" s="751">
        <v>3</v>
      </c>
      <c r="B52" s="33" t="s">
        <v>754</v>
      </c>
      <c r="C52" s="752">
        <f>'Biểu 02'!G493</f>
        <v>192600000</v>
      </c>
      <c r="D52" s="753"/>
      <c r="E52" s="753">
        <f t="shared" si="18"/>
        <v>192600000</v>
      </c>
      <c r="F52" s="751"/>
      <c r="I52" s="754"/>
    </row>
    <row r="53" spans="1:9" ht="24" customHeight="1" x14ac:dyDescent="0.25">
      <c r="A53" s="751">
        <v>4</v>
      </c>
      <c r="B53" s="33" t="s">
        <v>861</v>
      </c>
      <c r="C53" s="752">
        <f>'Biểu 02'!G534</f>
        <v>783000000</v>
      </c>
      <c r="D53" s="753"/>
      <c r="E53" s="753">
        <f t="shared" si="18"/>
        <v>783000000</v>
      </c>
      <c r="F53" s="751"/>
      <c r="I53" s="754"/>
    </row>
    <row r="54" spans="1:9" ht="24" customHeight="1" x14ac:dyDescent="0.25">
      <c r="A54" s="751">
        <v>5</v>
      </c>
      <c r="B54" s="33" t="s">
        <v>862</v>
      </c>
      <c r="C54" s="752">
        <f>'Biểu 02'!G584</f>
        <v>702000000</v>
      </c>
      <c r="D54" s="753"/>
      <c r="E54" s="753">
        <f t="shared" si="18"/>
        <v>702000000</v>
      </c>
      <c r="F54" s="751"/>
      <c r="I54" s="754"/>
    </row>
    <row r="55" spans="1:9" ht="24" customHeight="1" x14ac:dyDescent="0.25">
      <c r="A55" s="751">
        <v>6</v>
      </c>
      <c r="B55" s="33" t="s">
        <v>863</v>
      </c>
      <c r="C55" s="752">
        <f>'Biểu 02'!G634</f>
        <v>392850000</v>
      </c>
      <c r="D55" s="753"/>
      <c r="E55" s="753">
        <f t="shared" si="18"/>
        <v>392850000</v>
      </c>
      <c r="F55" s="751"/>
      <c r="I55" s="754"/>
    </row>
    <row r="56" spans="1:9" ht="24" customHeight="1" x14ac:dyDescent="0.25">
      <c r="A56" s="751">
        <v>7</v>
      </c>
      <c r="B56" s="33" t="s">
        <v>781</v>
      </c>
      <c r="C56" s="752">
        <f>'Biểu 02'!G690</f>
        <v>532500000</v>
      </c>
      <c r="D56" s="753"/>
      <c r="E56" s="753">
        <f t="shared" si="18"/>
        <v>532500000</v>
      </c>
      <c r="F56" s="751"/>
      <c r="I56" s="754"/>
    </row>
    <row r="57" spans="1:9" ht="24" customHeight="1" x14ac:dyDescent="0.25">
      <c r="A57" s="751">
        <v>8</v>
      </c>
      <c r="B57" s="33" t="s">
        <v>784</v>
      </c>
      <c r="C57" s="752">
        <f>'Biểu 02'!G733</f>
        <v>425250000</v>
      </c>
      <c r="D57" s="753"/>
      <c r="E57" s="753">
        <f t="shared" si="18"/>
        <v>425250000</v>
      </c>
      <c r="F57" s="751"/>
      <c r="I57" s="754"/>
    </row>
    <row r="58" spans="1:9" ht="37.5" customHeight="1" x14ac:dyDescent="0.25">
      <c r="A58" s="751">
        <v>9</v>
      </c>
      <c r="B58" s="33" t="s">
        <v>787</v>
      </c>
      <c r="C58" s="752">
        <f>'Biểu 02'!G775</f>
        <v>287550000</v>
      </c>
      <c r="D58" s="753"/>
      <c r="E58" s="753">
        <f t="shared" si="18"/>
        <v>287550000</v>
      </c>
      <c r="F58" s="751"/>
      <c r="I58" s="754"/>
    </row>
    <row r="59" spans="1:9" s="758" customFormat="1" ht="24" customHeight="1" x14ac:dyDescent="0.25">
      <c r="A59" s="755" t="s">
        <v>866</v>
      </c>
      <c r="B59" s="756" t="s">
        <v>738</v>
      </c>
      <c r="C59" s="757">
        <f>SUM(C60:C69)</f>
        <v>3255250000</v>
      </c>
      <c r="D59" s="757">
        <f t="shared" ref="D59:E59" si="19">SUM(D60:D69)</f>
        <v>948350000</v>
      </c>
      <c r="E59" s="757">
        <f t="shared" si="19"/>
        <v>2306900000</v>
      </c>
      <c r="F59" s="755"/>
      <c r="H59" s="759"/>
      <c r="I59" s="754"/>
    </row>
    <row r="60" spans="1:9" ht="24" customHeight="1" x14ac:dyDescent="0.25">
      <c r="A60" s="751">
        <v>1</v>
      </c>
      <c r="B60" s="33" t="s">
        <v>728</v>
      </c>
      <c r="C60" s="752">
        <f>'Biểu 02'!G411</f>
        <v>260120000</v>
      </c>
      <c r="D60" s="752">
        <f>'Biểu 02'!H411</f>
        <v>104048000</v>
      </c>
      <c r="E60" s="753">
        <f t="shared" ref="E60:E97" si="20">C60-D60</f>
        <v>156072000</v>
      </c>
      <c r="F60" s="751"/>
      <c r="I60" s="754"/>
    </row>
    <row r="61" spans="1:9" ht="24" customHeight="1" x14ac:dyDescent="0.25">
      <c r="A61" s="751">
        <v>2</v>
      </c>
      <c r="B61" s="33" t="s">
        <v>748</v>
      </c>
      <c r="C61" s="752">
        <f>'Biểu 02'!G451</f>
        <v>166320000</v>
      </c>
      <c r="D61" s="752">
        <f>'Biểu 02'!H451</f>
        <v>66528000</v>
      </c>
      <c r="E61" s="753">
        <f t="shared" si="20"/>
        <v>99792000</v>
      </c>
      <c r="F61" s="751"/>
      <c r="I61" s="754"/>
    </row>
    <row r="62" spans="1:9" ht="24" customHeight="1" x14ac:dyDescent="0.25">
      <c r="A62" s="751">
        <v>3</v>
      </c>
      <c r="B62" s="33" t="s">
        <v>754</v>
      </c>
      <c r="C62" s="752">
        <f>'Biểu 02'!G494</f>
        <v>119448000</v>
      </c>
      <c r="D62" s="752">
        <f>'Biểu 02'!H494</f>
        <v>47779000</v>
      </c>
      <c r="E62" s="753">
        <f t="shared" si="20"/>
        <v>71669000</v>
      </c>
      <c r="F62" s="751"/>
      <c r="I62" s="754"/>
    </row>
    <row r="63" spans="1:9" ht="24" customHeight="1" x14ac:dyDescent="0.25">
      <c r="A63" s="751">
        <v>4</v>
      </c>
      <c r="B63" s="33" t="s">
        <v>861</v>
      </c>
      <c r="C63" s="752">
        <f>'Biểu 02'!G535</f>
        <v>432800000</v>
      </c>
      <c r="D63" s="752">
        <f>'Biểu 02'!H535</f>
        <v>173120000</v>
      </c>
      <c r="E63" s="753">
        <f t="shared" si="20"/>
        <v>259680000</v>
      </c>
      <c r="F63" s="751"/>
      <c r="I63" s="754"/>
    </row>
    <row r="64" spans="1:9" ht="24" customHeight="1" x14ac:dyDescent="0.25">
      <c r="A64" s="751">
        <v>5</v>
      </c>
      <c r="B64" s="33" t="s">
        <v>862</v>
      </c>
      <c r="C64" s="752">
        <f>'Biểu 02'!G585</f>
        <v>386480000</v>
      </c>
      <c r="D64" s="752">
        <f>'Biểu 02'!H585</f>
        <v>154592000</v>
      </c>
      <c r="E64" s="753">
        <f t="shared" si="20"/>
        <v>231888000</v>
      </c>
      <c r="F64" s="751"/>
      <c r="I64" s="754"/>
    </row>
    <row r="65" spans="1:9" ht="24" customHeight="1" x14ac:dyDescent="0.25">
      <c r="A65" s="751">
        <v>6</v>
      </c>
      <c r="B65" s="33" t="s">
        <v>863</v>
      </c>
      <c r="C65" s="752">
        <f>'Biểu 02'!G635</f>
        <v>216280000</v>
      </c>
      <c r="D65" s="752">
        <f>'Biểu 02'!H635</f>
        <v>86512000</v>
      </c>
      <c r="E65" s="753">
        <f t="shared" si="20"/>
        <v>129768000</v>
      </c>
      <c r="F65" s="751"/>
      <c r="I65" s="754"/>
    </row>
    <row r="66" spans="1:9" ht="24" customHeight="1" x14ac:dyDescent="0.25">
      <c r="A66" s="751">
        <v>7</v>
      </c>
      <c r="B66" s="33" t="s">
        <v>781</v>
      </c>
      <c r="C66" s="752">
        <f>'Biểu 02'!G691</f>
        <v>347490000</v>
      </c>
      <c r="D66" s="752">
        <f>'Biểu 02'!H691</f>
        <v>138996000</v>
      </c>
      <c r="E66" s="753">
        <f t="shared" si="20"/>
        <v>208494000</v>
      </c>
      <c r="F66" s="751"/>
      <c r="I66" s="754"/>
    </row>
    <row r="67" spans="1:9" ht="24" customHeight="1" x14ac:dyDescent="0.25">
      <c r="A67" s="751">
        <v>8</v>
      </c>
      <c r="B67" s="33" t="s">
        <v>784</v>
      </c>
      <c r="C67" s="752">
        <f>'Biểu 02'!G734</f>
        <v>263655000</v>
      </c>
      <c r="D67" s="752">
        <f>'Biểu 02'!H734</f>
        <v>105462000</v>
      </c>
      <c r="E67" s="753">
        <f t="shared" si="20"/>
        <v>158193000</v>
      </c>
      <c r="F67" s="751"/>
      <c r="I67" s="754"/>
    </row>
    <row r="68" spans="1:9" ht="37.5" customHeight="1" x14ac:dyDescent="0.25">
      <c r="A68" s="751">
        <v>9</v>
      </c>
      <c r="B68" s="33" t="s">
        <v>787</v>
      </c>
      <c r="C68" s="752">
        <f>'Biểu 02'!G776</f>
        <v>178281000</v>
      </c>
      <c r="D68" s="752">
        <f>'Biểu 02'!H776</f>
        <v>71313000</v>
      </c>
      <c r="E68" s="753">
        <f t="shared" si="20"/>
        <v>106968000</v>
      </c>
      <c r="F68" s="751"/>
      <c r="I68" s="754"/>
    </row>
    <row r="69" spans="1:9" ht="27" customHeight="1" x14ac:dyDescent="0.25">
      <c r="A69" s="751">
        <v>10</v>
      </c>
      <c r="B69" s="33" t="s">
        <v>197</v>
      </c>
      <c r="C69" s="752">
        <f>'Biểu 02'!G135</f>
        <v>884376000</v>
      </c>
      <c r="D69" s="752"/>
      <c r="E69" s="753">
        <f t="shared" si="20"/>
        <v>884376000</v>
      </c>
      <c r="F69" s="751"/>
      <c r="I69" s="754"/>
    </row>
    <row r="70" spans="1:9" s="744" customFormat="1" ht="55.5" customHeight="1" x14ac:dyDescent="0.25">
      <c r="A70" s="748" t="s">
        <v>35</v>
      </c>
      <c r="B70" s="27" t="s">
        <v>867</v>
      </c>
      <c r="C70" s="749">
        <f>SUM(C71:C79)</f>
        <v>1141000000</v>
      </c>
      <c r="D70" s="749">
        <f t="shared" ref="D70:E70" si="21">SUM(D71:D79)</f>
        <v>0</v>
      </c>
      <c r="E70" s="749">
        <f t="shared" si="21"/>
        <v>1141000000</v>
      </c>
      <c r="F70" s="748"/>
      <c r="I70" s="754"/>
    </row>
    <row r="71" spans="1:9" ht="24" customHeight="1" x14ac:dyDescent="0.25">
      <c r="A71" s="751">
        <v>1</v>
      </c>
      <c r="B71" s="33" t="s">
        <v>728</v>
      </c>
      <c r="C71" s="752">
        <f>'Biểu 02'!G412</f>
        <v>33000000</v>
      </c>
      <c r="D71" s="753"/>
      <c r="E71" s="753">
        <f t="shared" si="20"/>
        <v>33000000</v>
      </c>
      <c r="F71" s="751"/>
      <c r="I71" s="754"/>
    </row>
    <row r="72" spans="1:9" ht="24" customHeight="1" x14ac:dyDescent="0.25">
      <c r="A72" s="751">
        <v>2</v>
      </c>
      <c r="B72" s="33" t="s">
        <v>748</v>
      </c>
      <c r="C72" s="752">
        <f>'Biểu 02'!G452</f>
        <v>25000000</v>
      </c>
      <c r="D72" s="753"/>
      <c r="E72" s="753">
        <f t="shared" si="20"/>
        <v>25000000</v>
      </c>
      <c r="F72" s="751"/>
      <c r="I72" s="754"/>
    </row>
    <row r="73" spans="1:9" ht="24" customHeight="1" x14ac:dyDescent="0.25">
      <c r="A73" s="751">
        <v>3</v>
      </c>
      <c r="B73" s="33" t="s">
        <v>754</v>
      </c>
      <c r="C73" s="752">
        <f>'Biểu 02'!G495</f>
        <v>12000000</v>
      </c>
      <c r="D73" s="753"/>
      <c r="E73" s="753">
        <f t="shared" si="20"/>
        <v>12000000</v>
      </c>
      <c r="F73" s="751"/>
      <c r="I73" s="754"/>
    </row>
    <row r="74" spans="1:9" ht="24" customHeight="1" x14ac:dyDescent="0.25">
      <c r="A74" s="751">
        <v>4</v>
      </c>
      <c r="B74" s="33" t="s">
        <v>861</v>
      </c>
      <c r="C74" s="752">
        <f>'Biểu 02'!G536</f>
        <v>340000000</v>
      </c>
      <c r="D74" s="753"/>
      <c r="E74" s="753">
        <f t="shared" si="20"/>
        <v>340000000</v>
      </c>
      <c r="F74" s="751"/>
      <c r="I74" s="754"/>
    </row>
    <row r="75" spans="1:9" ht="24" customHeight="1" x14ac:dyDescent="0.25">
      <c r="A75" s="751">
        <v>5</v>
      </c>
      <c r="B75" s="33" t="s">
        <v>862</v>
      </c>
      <c r="C75" s="752">
        <f>'Biểu 02'!G586</f>
        <v>200000000</v>
      </c>
      <c r="D75" s="753"/>
      <c r="E75" s="753">
        <f t="shared" si="20"/>
        <v>200000000</v>
      </c>
      <c r="F75" s="751"/>
      <c r="I75" s="754"/>
    </row>
    <row r="76" spans="1:9" ht="24" customHeight="1" x14ac:dyDescent="0.25">
      <c r="A76" s="751">
        <v>6</v>
      </c>
      <c r="B76" s="33" t="s">
        <v>863</v>
      </c>
      <c r="C76" s="752">
        <f>'Biểu 02'!G636</f>
        <v>176000000</v>
      </c>
      <c r="D76" s="753"/>
      <c r="E76" s="753">
        <f t="shared" si="20"/>
        <v>176000000</v>
      </c>
      <c r="F76" s="751"/>
      <c r="I76" s="754"/>
    </row>
    <row r="77" spans="1:9" ht="24" customHeight="1" x14ac:dyDescent="0.25">
      <c r="A77" s="751">
        <v>7</v>
      </c>
      <c r="B77" s="33" t="s">
        <v>781</v>
      </c>
      <c r="C77" s="752">
        <f>'Biểu 02'!G692</f>
        <v>240000000</v>
      </c>
      <c r="D77" s="753"/>
      <c r="E77" s="753">
        <f t="shared" si="20"/>
        <v>240000000</v>
      </c>
      <c r="F77" s="751"/>
      <c r="I77" s="754"/>
    </row>
    <row r="78" spans="1:9" ht="24" customHeight="1" x14ac:dyDescent="0.25">
      <c r="A78" s="751">
        <v>8</v>
      </c>
      <c r="B78" s="33" t="s">
        <v>784</v>
      </c>
      <c r="C78" s="752">
        <f>'Biểu 02'!G735</f>
        <v>60000000</v>
      </c>
      <c r="D78" s="753"/>
      <c r="E78" s="753">
        <f t="shared" si="20"/>
        <v>60000000</v>
      </c>
      <c r="F78" s="751"/>
      <c r="I78" s="754"/>
    </row>
    <row r="79" spans="1:9" ht="39" customHeight="1" x14ac:dyDescent="0.25">
      <c r="A79" s="751">
        <v>9</v>
      </c>
      <c r="B79" s="33" t="s">
        <v>787</v>
      </c>
      <c r="C79" s="752">
        <f>'Biểu 02'!G777</f>
        <v>55000000</v>
      </c>
      <c r="D79" s="753"/>
      <c r="E79" s="753">
        <f t="shared" si="20"/>
        <v>55000000</v>
      </c>
      <c r="F79" s="751"/>
      <c r="I79" s="754"/>
    </row>
    <row r="80" spans="1:9" s="744" customFormat="1" ht="56.25" customHeight="1" x14ac:dyDescent="0.25">
      <c r="A80" s="748" t="s">
        <v>115</v>
      </c>
      <c r="B80" s="27" t="s">
        <v>740</v>
      </c>
      <c r="C80" s="749">
        <f>SUM(C81:C89)</f>
        <v>18990000000</v>
      </c>
      <c r="D80" s="749">
        <f t="shared" ref="D80:E80" si="22">SUM(D81:D89)</f>
        <v>0</v>
      </c>
      <c r="E80" s="749">
        <f t="shared" si="22"/>
        <v>18990000000</v>
      </c>
      <c r="F80" s="748"/>
      <c r="I80" s="754"/>
    </row>
    <row r="81" spans="1:9" ht="23.25" customHeight="1" x14ac:dyDescent="0.25">
      <c r="A81" s="751">
        <v>1</v>
      </c>
      <c r="B81" s="33" t="s">
        <v>728</v>
      </c>
      <c r="C81" s="752">
        <f>'Biểu 02'!G413</f>
        <v>1169018000</v>
      </c>
      <c r="D81" s="753"/>
      <c r="E81" s="753">
        <f t="shared" si="20"/>
        <v>1169018000</v>
      </c>
      <c r="F81" s="751"/>
      <c r="I81" s="754"/>
    </row>
    <row r="82" spans="1:9" ht="23.25" customHeight="1" x14ac:dyDescent="0.25">
      <c r="A82" s="751">
        <v>2</v>
      </c>
      <c r="B82" s="33" t="s">
        <v>748</v>
      </c>
      <c r="C82" s="752">
        <f>'Biểu 02'!G453</f>
        <v>383200000</v>
      </c>
      <c r="D82" s="753"/>
      <c r="E82" s="753">
        <f t="shared" si="20"/>
        <v>383200000</v>
      </c>
      <c r="F82" s="751"/>
      <c r="I82" s="754"/>
    </row>
    <row r="83" spans="1:9" ht="23.25" customHeight="1" x14ac:dyDescent="0.25">
      <c r="A83" s="751">
        <v>3</v>
      </c>
      <c r="B83" s="33" t="s">
        <v>754</v>
      </c>
      <c r="C83" s="752">
        <f>'Biểu 02'!G496</f>
        <v>155504000</v>
      </c>
      <c r="D83" s="753"/>
      <c r="E83" s="753">
        <f t="shared" si="20"/>
        <v>155504000</v>
      </c>
      <c r="F83" s="751"/>
      <c r="I83" s="754"/>
    </row>
    <row r="84" spans="1:9" ht="23.25" customHeight="1" x14ac:dyDescent="0.25">
      <c r="A84" s="751">
        <v>4</v>
      </c>
      <c r="B84" s="33" t="s">
        <v>861</v>
      </c>
      <c r="C84" s="752">
        <f>'Biểu 02'!G537</f>
        <v>5736918000</v>
      </c>
      <c r="D84" s="753"/>
      <c r="E84" s="753">
        <f t="shared" si="20"/>
        <v>5736918000</v>
      </c>
      <c r="F84" s="751"/>
      <c r="I84" s="754"/>
    </row>
    <row r="85" spans="1:9" ht="23.25" customHeight="1" x14ac:dyDescent="0.25">
      <c r="A85" s="751">
        <v>5</v>
      </c>
      <c r="B85" s="33" t="s">
        <v>862</v>
      </c>
      <c r="C85" s="752">
        <f>'Biểu 02'!G587</f>
        <v>2886785000</v>
      </c>
      <c r="D85" s="753"/>
      <c r="E85" s="753">
        <f t="shared" si="20"/>
        <v>2886785000</v>
      </c>
      <c r="F85" s="751"/>
      <c r="I85" s="754"/>
    </row>
    <row r="86" spans="1:9" ht="23.25" customHeight="1" x14ac:dyDescent="0.25">
      <c r="A86" s="751">
        <v>6</v>
      </c>
      <c r="B86" s="33" t="s">
        <v>863</v>
      </c>
      <c r="C86" s="752">
        <f>'Biểu 02'!G637</f>
        <v>1522914000</v>
      </c>
      <c r="D86" s="753"/>
      <c r="E86" s="753">
        <f t="shared" si="20"/>
        <v>1522914000</v>
      </c>
      <c r="F86" s="751"/>
      <c r="I86" s="754"/>
    </row>
    <row r="87" spans="1:9" ht="23.25" customHeight="1" x14ac:dyDescent="0.25">
      <c r="A87" s="751">
        <v>7</v>
      </c>
      <c r="B87" s="33" t="s">
        <v>781</v>
      </c>
      <c r="C87" s="752">
        <f>'Biểu 02'!G693</f>
        <v>3422888000</v>
      </c>
      <c r="D87" s="753"/>
      <c r="E87" s="753">
        <f t="shared" si="20"/>
        <v>3422888000</v>
      </c>
      <c r="F87" s="751"/>
      <c r="I87" s="754"/>
    </row>
    <row r="88" spans="1:9" ht="23.25" customHeight="1" x14ac:dyDescent="0.25">
      <c r="A88" s="751">
        <v>8</v>
      </c>
      <c r="B88" s="33" t="s">
        <v>784</v>
      </c>
      <c r="C88" s="752">
        <f>'Biểu 02'!G736</f>
        <v>2320495000</v>
      </c>
      <c r="D88" s="753"/>
      <c r="E88" s="753">
        <f t="shared" si="20"/>
        <v>2320495000</v>
      </c>
      <c r="F88" s="751"/>
      <c r="I88" s="754"/>
    </row>
    <row r="89" spans="1:9" ht="39" customHeight="1" x14ac:dyDescent="0.25">
      <c r="A89" s="751">
        <v>9</v>
      </c>
      <c r="B89" s="33" t="s">
        <v>787</v>
      </c>
      <c r="C89" s="752">
        <f>'Biểu 02'!G778</f>
        <v>1392278000</v>
      </c>
      <c r="D89" s="753"/>
      <c r="E89" s="753">
        <f t="shared" si="20"/>
        <v>1392278000</v>
      </c>
      <c r="F89" s="751"/>
      <c r="I89" s="754"/>
    </row>
    <row r="90" spans="1:9" s="744" customFormat="1" ht="52.5" customHeight="1" x14ac:dyDescent="0.25">
      <c r="A90" s="748" t="s">
        <v>868</v>
      </c>
      <c r="B90" s="27" t="s">
        <v>765</v>
      </c>
      <c r="C90" s="749">
        <f>SUM(C91:C93)</f>
        <v>185000000</v>
      </c>
      <c r="D90" s="749">
        <f t="shared" ref="D90:E90" si="23">SUM(D91:D93)</f>
        <v>0</v>
      </c>
      <c r="E90" s="749">
        <f t="shared" si="23"/>
        <v>185000000</v>
      </c>
      <c r="F90" s="748"/>
      <c r="I90" s="754"/>
    </row>
    <row r="91" spans="1:9" ht="24.75" customHeight="1" x14ac:dyDescent="0.25">
      <c r="A91" s="751">
        <v>1</v>
      </c>
      <c r="B91" s="33" t="s">
        <v>861</v>
      </c>
      <c r="C91" s="752">
        <f>'Biểu 02'!G538</f>
        <v>76000000</v>
      </c>
      <c r="D91" s="753"/>
      <c r="E91" s="753">
        <f t="shared" si="20"/>
        <v>76000000</v>
      </c>
      <c r="F91" s="751"/>
      <c r="I91" s="754"/>
    </row>
    <row r="92" spans="1:9" ht="24.75" customHeight="1" x14ac:dyDescent="0.25">
      <c r="A92" s="751">
        <v>2</v>
      </c>
      <c r="B92" s="33" t="s">
        <v>862</v>
      </c>
      <c r="C92" s="752">
        <f>'Biểu 02'!G588</f>
        <v>76000000</v>
      </c>
      <c r="D92" s="753"/>
      <c r="E92" s="753">
        <f t="shared" si="20"/>
        <v>76000000</v>
      </c>
      <c r="F92" s="751"/>
      <c r="I92" s="754"/>
    </row>
    <row r="93" spans="1:9" ht="24.75" customHeight="1" x14ac:dyDescent="0.25">
      <c r="A93" s="751">
        <v>3</v>
      </c>
      <c r="B93" s="33" t="s">
        <v>863</v>
      </c>
      <c r="C93" s="752">
        <f>'Biểu 02'!G638</f>
        <v>33000000</v>
      </c>
      <c r="D93" s="753"/>
      <c r="E93" s="753">
        <f t="shared" si="20"/>
        <v>33000000</v>
      </c>
      <c r="F93" s="751"/>
      <c r="I93" s="754"/>
    </row>
    <row r="94" spans="1:9" s="744" customFormat="1" ht="88.5" customHeight="1" x14ac:dyDescent="0.25">
      <c r="A94" s="748" t="s">
        <v>869</v>
      </c>
      <c r="B94" s="27" t="s">
        <v>771</v>
      </c>
      <c r="C94" s="749">
        <f>SUM(C95:C97)</f>
        <v>201000000</v>
      </c>
      <c r="D94" s="749">
        <f t="shared" ref="D94:E94" si="24">SUM(D95:D97)</f>
        <v>0</v>
      </c>
      <c r="E94" s="749">
        <f t="shared" si="24"/>
        <v>201000000</v>
      </c>
      <c r="F94" s="748"/>
      <c r="I94" s="754"/>
    </row>
    <row r="95" spans="1:9" ht="24" customHeight="1" x14ac:dyDescent="0.25">
      <c r="A95" s="751">
        <v>1</v>
      </c>
      <c r="B95" s="33" t="s">
        <v>861</v>
      </c>
      <c r="C95" s="752">
        <f>'Biểu 02'!G539</f>
        <v>90139000</v>
      </c>
      <c r="D95" s="753"/>
      <c r="E95" s="753">
        <f t="shared" si="20"/>
        <v>90139000</v>
      </c>
      <c r="F95" s="751"/>
      <c r="I95" s="754"/>
    </row>
    <row r="96" spans="1:9" ht="24" customHeight="1" x14ac:dyDescent="0.25">
      <c r="A96" s="751">
        <v>2</v>
      </c>
      <c r="B96" s="33" t="s">
        <v>862</v>
      </c>
      <c r="C96" s="752">
        <f>'Biểu 02'!G589</f>
        <v>75365000</v>
      </c>
      <c r="D96" s="753"/>
      <c r="E96" s="753">
        <f t="shared" si="20"/>
        <v>75365000</v>
      </c>
      <c r="F96" s="751"/>
      <c r="I96" s="754"/>
    </row>
    <row r="97" spans="1:9" ht="24" customHeight="1" x14ac:dyDescent="0.25">
      <c r="A97" s="751">
        <v>3</v>
      </c>
      <c r="B97" s="33" t="s">
        <v>863</v>
      </c>
      <c r="C97" s="752">
        <f>'Biểu 02'!G639</f>
        <v>35496000</v>
      </c>
      <c r="D97" s="753"/>
      <c r="E97" s="753">
        <f t="shared" si="20"/>
        <v>35496000</v>
      </c>
      <c r="F97" s="751"/>
      <c r="I97" s="754"/>
    </row>
    <row r="98" spans="1:9" s="744" customFormat="1" ht="72" customHeight="1" x14ac:dyDescent="0.25">
      <c r="A98" s="748" t="s">
        <v>870</v>
      </c>
      <c r="B98" s="27" t="s">
        <v>614</v>
      </c>
      <c r="C98" s="749">
        <f>SUM(C99:C101)</f>
        <v>250000000</v>
      </c>
      <c r="D98" s="749">
        <f t="shared" ref="D98:E98" si="25">SUM(D99:D101)</f>
        <v>0</v>
      </c>
      <c r="E98" s="749">
        <f t="shared" si="25"/>
        <v>250000000</v>
      </c>
      <c r="F98" s="748"/>
      <c r="I98" s="754"/>
    </row>
    <row r="99" spans="1:9" ht="27" customHeight="1" x14ac:dyDescent="0.25">
      <c r="A99" s="751">
        <v>1</v>
      </c>
      <c r="B99" s="33" t="s">
        <v>197</v>
      </c>
      <c r="C99" s="752">
        <f>'Biểu 02'!G136</f>
        <v>250000000</v>
      </c>
      <c r="D99" s="752"/>
      <c r="E99" s="753">
        <f t="shared" ref="E99" si="26">C99-D99</f>
        <v>250000000</v>
      </c>
      <c r="F99" s="751"/>
      <c r="I99" s="754"/>
    </row>
  </sheetData>
  <mergeCells count="4">
    <mergeCell ref="A2:F2"/>
    <mergeCell ref="A3:F3"/>
    <mergeCell ref="D4:F4"/>
    <mergeCell ref="A1:F1"/>
  </mergeCells>
  <pageMargins left="0.63" right="0.2" top="0.47" bottom="0.55000000000000004" header="0.3" footer="0.24"/>
  <pageSetup paperSize="9" firstPageNumber="34" orientation="portrait" useFirstPageNumber="1" verticalDpi="0" r:id="rId1"/>
  <headerFooter>
    <oddFooter>&amp;C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0"/>
  <sheetViews>
    <sheetView view="pageBreakPreview" zoomScale="85" zoomScaleNormal="85" zoomScaleSheetLayoutView="85" workbookViewId="0">
      <selection activeCell="F16" sqref="F16"/>
    </sheetView>
  </sheetViews>
  <sheetFormatPr defaultColWidth="9" defaultRowHeight="15.75" x14ac:dyDescent="0.25"/>
  <cols>
    <col min="1" max="1" width="6" style="9" customWidth="1"/>
    <col min="2" max="2" width="19" style="9" customWidth="1"/>
    <col min="3" max="3" width="12.140625" style="9" customWidth="1"/>
    <col min="4" max="4" width="11.85546875" style="9" customWidth="1"/>
    <col min="5" max="5" width="8.42578125" style="9" customWidth="1"/>
    <col min="6" max="6" width="12.42578125" style="9" customWidth="1"/>
    <col min="7" max="7" width="12.28515625" style="9" customWidth="1"/>
    <col min="8" max="8" width="12.42578125" style="9" customWidth="1"/>
    <col min="9" max="9" width="11.42578125" style="9" customWidth="1"/>
    <col min="10" max="10" width="8.42578125" style="9" customWidth="1"/>
    <col min="11" max="11" width="11.7109375" style="9" customWidth="1"/>
    <col min="12" max="12" width="11.28515625" style="9" customWidth="1"/>
    <col min="13" max="13" width="12.140625" style="9" customWidth="1"/>
    <col min="14" max="16384" width="9" style="9"/>
  </cols>
  <sheetData>
    <row r="1" spans="1:13" ht="67.5" customHeight="1" x14ac:dyDescent="0.25">
      <c r="B1" s="760"/>
      <c r="C1" s="760"/>
      <c r="D1" s="760"/>
      <c r="E1" s="760"/>
      <c r="F1" s="760"/>
      <c r="G1" s="760"/>
      <c r="H1" s="760"/>
      <c r="I1" s="760"/>
      <c r="J1" s="760"/>
      <c r="K1" s="896" t="s">
        <v>407</v>
      </c>
      <c r="L1" s="896"/>
      <c r="M1" s="896"/>
    </row>
    <row r="2" spans="1:13" ht="20.25" customHeight="1" x14ac:dyDescent="0.25">
      <c r="A2" s="931" t="s">
        <v>236</v>
      </c>
      <c r="B2" s="931"/>
      <c r="C2" s="931"/>
      <c r="D2" s="931"/>
      <c r="E2" s="931"/>
      <c r="F2" s="931"/>
      <c r="G2" s="931"/>
      <c r="H2" s="931"/>
      <c r="I2" s="931"/>
      <c r="J2" s="931"/>
      <c r="K2" s="931"/>
      <c r="L2" s="931"/>
      <c r="M2" s="931"/>
    </row>
    <row r="3" spans="1:13" ht="28.5" customHeight="1" x14ac:dyDescent="0.25">
      <c r="A3" s="935" t="s">
        <v>380</v>
      </c>
      <c r="B3" s="935"/>
      <c r="C3" s="935"/>
      <c r="D3" s="935"/>
      <c r="E3" s="935"/>
      <c r="F3" s="935"/>
      <c r="G3" s="935"/>
      <c r="H3" s="935"/>
      <c r="I3" s="935"/>
      <c r="J3" s="935"/>
      <c r="K3" s="935"/>
      <c r="L3" s="935"/>
      <c r="M3" s="935"/>
    </row>
    <row r="4" spans="1:13" ht="20.25" customHeight="1" x14ac:dyDescent="0.25">
      <c r="A4" s="936" t="str">
        <f>'38'!A4:Z4</f>
        <v>(Kèm theo Nghị quyết số: 33 /NQ-HĐND ngày  19/12/2025 của HĐND xã Cao Minh)</v>
      </c>
      <c r="B4" s="936"/>
      <c r="C4" s="936"/>
      <c r="D4" s="936"/>
      <c r="E4" s="936"/>
      <c r="F4" s="936"/>
      <c r="G4" s="936"/>
      <c r="H4" s="936"/>
      <c r="I4" s="936"/>
      <c r="J4" s="936"/>
      <c r="K4" s="936"/>
      <c r="L4" s="936"/>
      <c r="M4" s="936"/>
    </row>
    <row r="5" spans="1:13" ht="19.5" customHeight="1" x14ac:dyDescent="0.25">
      <c r="A5" s="937" t="s">
        <v>228</v>
      </c>
      <c r="B5" s="937"/>
      <c r="C5" s="937"/>
      <c r="D5" s="937"/>
      <c r="E5" s="937"/>
      <c r="F5" s="937"/>
      <c r="G5" s="937"/>
      <c r="H5" s="937"/>
      <c r="I5" s="937"/>
      <c r="J5" s="937"/>
      <c r="K5" s="937"/>
      <c r="L5" s="937"/>
      <c r="M5" s="937"/>
    </row>
    <row r="6" spans="1:13" ht="26.25" customHeight="1" x14ac:dyDescent="0.25">
      <c r="A6" s="934" t="s">
        <v>0</v>
      </c>
      <c r="B6" s="934" t="s">
        <v>1</v>
      </c>
      <c r="C6" s="934" t="s">
        <v>381</v>
      </c>
      <c r="D6" s="934" t="s">
        <v>373</v>
      </c>
      <c r="E6" s="934"/>
      <c r="F6" s="934"/>
      <c r="G6" s="934"/>
      <c r="H6" s="934" t="s">
        <v>382</v>
      </c>
      <c r="I6" s="934" t="s">
        <v>384</v>
      </c>
      <c r="J6" s="934"/>
      <c r="K6" s="934"/>
      <c r="L6" s="934"/>
      <c r="M6" s="934" t="s">
        <v>383</v>
      </c>
    </row>
    <row r="7" spans="1:13" ht="40.5" customHeight="1" x14ac:dyDescent="0.25">
      <c r="A7" s="934"/>
      <c r="B7" s="934"/>
      <c r="C7" s="934"/>
      <c r="D7" s="934" t="s">
        <v>2</v>
      </c>
      <c r="E7" s="934"/>
      <c r="F7" s="934" t="s">
        <v>3</v>
      </c>
      <c r="G7" s="934" t="s">
        <v>4</v>
      </c>
      <c r="H7" s="934"/>
      <c r="I7" s="934" t="s">
        <v>2</v>
      </c>
      <c r="J7" s="934"/>
      <c r="K7" s="934" t="s">
        <v>3</v>
      </c>
      <c r="L7" s="934" t="s">
        <v>4</v>
      </c>
      <c r="M7" s="934"/>
    </row>
    <row r="8" spans="1:13" ht="90" customHeight="1" x14ac:dyDescent="0.25">
      <c r="A8" s="934"/>
      <c r="B8" s="934"/>
      <c r="C8" s="934"/>
      <c r="D8" s="761" t="s">
        <v>5</v>
      </c>
      <c r="E8" s="761" t="s">
        <v>929</v>
      </c>
      <c r="F8" s="934"/>
      <c r="G8" s="934"/>
      <c r="H8" s="934"/>
      <c r="I8" s="761" t="s">
        <v>5</v>
      </c>
      <c r="J8" s="761" t="s">
        <v>929</v>
      </c>
      <c r="K8" s="934"/>
      <c r="L8" s="934"/>
      <c r="M8" s="934"/>
    </row>
    <row r="9" spans="1:13" s="17" customFormat="1" ht="27" customHeight="1" x14ac:dyDescent="0.25">
      <c r="A9" s="762" t="s">
        <v>6</v>
      </c>
      <c r="B9" s="762" t="s">
        <v>7</v>
      </c>
      <c r="C9" s="762">
        <v>1</v>
      </c>
      <c r="D9" s="762">
        <v>2</v>
      </c>
      <c r="E9" s="762">
        <v>3</v>
      </c>
      <c r="F9" s="762">
        <v>4</v>
      </c>
      <c r="G9" s="762" t="s">
        <v>8</v>
      </c>
      <c r="H9" s="762" t="s">
        <v>9</v>
      </c>
      <c r="I9" s="762">
        <v>7</v>
      </c>
      <c r="J9" s="762">
        <v>8</v>
      </c>
      <c r="K9" s="762">
        <v>9</v>
      </c>
      <c r="L9" s="762" t="s">
        <v>10</v>
      </c>
      <c r="M9" s="762" t="s">
        <v>11</v>
      </c>
    </row>
    <row r="10" spans="1:13" s="31" customFormat="1" ht="30" customHeight="1" x14ac:dyDescent="0.25">
      <c r="A10" s="761"/>
      <c r="B10" s="763" t="s">
        <v>234</v>
      </c>
      <c r="C10" s="764">
        <f>SUM(C11:C19)</f>
        <v>496615641</v>
      </c>
      <c r="D10" s="764">
        <f t="shared" ref="D10:M10" si="0">SUM(D11:D19)</f>
        <v>66651834</v>
      </c>
      <c r="E10" s="764">
        <f t="shared" si="0"/>
        <v>0</v>
      </c>
      <c r="F10" s="764">
        <f t="shared" si="0"/>
        <v>218074000</v>
      </c>
      <c r="G10" s="764">
        <f t="shared" si="0"/>
        <v>-151422166</v>
      </c>
      <c r="H10" s="764">
        <f t="shared" si="0"/>
        <v>345193475</v>
      </c>
      <c r="I10" s="764">
        <f t="shared" si="0"/>
        <v>140000000</v>
      </c>
      <c r="J10" s="764">
        <f t="shared" si="0"/>
        <v>0</v>
      </c>
      <c r="K10" s="764">
        <f t="shared" si="0"/>
        <v>177198000</v>
      </c>
      <c r="L10" s="764">
        <f t="shared" si="0"/>
        <v>-37198000</v>
      </c>
      <c r="M10" s="764">
        <f t="shared" si="0"/>
        <v>307995475</v>
      </c>
    </row>
    <row r="11" spans="1:13" ht="24.75" customHeight="1" x14ac:dyDescent="0.25">
      <c r="A11" s="765">
        <v>1</v>
      </c>
      <c r="B11" s="571" t="s">
        <v>900</v>
      </c>
      <c r="C11" s="766">
        <v>52785000</v>
      </c>
      <c r="D11" s="766">
        <v>15000000</v>
      </c>
      <c r="E11" s="766"/>
      <c r="F11" s="766">
        <v>46400000</v>
      </c>
      <c r="G11" s="766">
        <f>D11-F11</f>
        <v>-31400000</v>
      </c>
      <c r="H11" s="766">
        <f>C11+D11-F11</f>
        <v>21385000</v>
      </c>
      <c r="I11" s="767">
        <v>20000000</v>
      </c>
      <c r="J11" s="767"/>
      <c r="K11" s="767">
        <v>25000000</v>
      </c>
      <c r="L11" s="766">
        <f>I11-K11</f>
        <v>-5000000</v>
      </c>
      <c r="M11" s="766">
        <f>H11+I11-K11</f>
        <v>16385000</v>
      </c>
    </row>
    <row r="12" spans="1:13" ht="24.75" customHeight="1" x14ac:dyDescent="0.25">
      <c r="A12" s="765">
        <v>2</v>
      </c>
      <c r="B12" s="571" t="s">
        <v>901</v>
      </c>
      <c r="C12" s="768">
        <v>23979884</v>
      </c>
      <c r="D12" s="766">
        <v>15000000</v>
      </c>
      <c r="E12" s="766"/>
      <c r="F12" s="766">
        <v>20992000</v>
      </c>
      <c r="G12" s="766">
        <f t="shared" ref="G12:G17" si="1">D12-F12</f>
        <v>-5992000</v>
      </c>
      <c r="H12" s="766">
        <f t="shared" ref="H12:H17" si="2">C12+D12-F12</f>
        <v>17987884</v>
      </c>
      <c r="I12" s="767">
        <v>20000000</v>
      </c>
      <c r="J12" s="767"/>
      <c r="K12" s="767">
        <v>20000000</v>
      </c>
      <c r="L12" s="766">
        <f t="shared" ref="L12:L13" si="3">I12-K12</f>
        <v>0</v>
      </c>
      <c r="M12" s="766">
        <f t="shared" ref="M12:M13" si="4">H12+I12-K12</f>
        <v>17987884</v>
      </c>
    </row>
    <row r="13" spans="1:13" ht="24.75" customHeight="1" x14ac:dyDescent="0.25">
      <c r="A13" s="765">
        <v>3</v>
      </c>
      <c r="B13" s="572" t="s">
        <v>902</v>
      </c>
      <c r="C13" s="766">
        <v>10460000</v>
      </c>
      <c r="D13" s="766"/>
      <c r="E13" s="766"/>
      <c r="F13" s="766">
        <v>3262000</v>
      </c>
      <c r="G13" s="766">
        <f t="shared" si="1"/>
        <v>-3262000</v>
      </c>
      <c r="H13" s="766">
        <f t="shared" si="2"/>
        <v>7198000</v>
      </c>
      <c r="I13" s="767"/>
      <c r="J13" s="767"/>
      <c r="K13" s="767">
        <v>7198000</v>
      </c>
      <c r="L13" s="766">
        <f t="shared" si="3"/>
        <v>-7198000</v>
      </c>
      <c r="M13" s="766">
        <f t="shared" si="4"/>
        <v>0</v>
      </c>
    </row>
    <row r="14" spans="1:13" ht="24.75" customHeight="1" x14ac:dyDescent="0.25">
      <c r="A14" s="765">
        <v>4</v>
      </c>
      <c r="B14" s="572" t="s">
        <v>903</v>
      </c>
      <c r="C14" s="767">
        <v>99968198</v>
      </c>
      <c r="D14" s="767">
        <v>30000000</v>
      </c>
      <c r="E14" s="767"/>
      <c r="F14" s="767">
        <v>53920000</v>
      </c>
      <c r="G14" s="766">
        <f t="shared" si="1"/>
        <v>-23920000</v>
      </c>
      <c r="H14" s="766">
        <f t="shared" si="2"/>
        <v>76048198</v>
      </c>
      <c r="I14" s="767">
        <v>30000000</v>
      </c>
      <c r="J14" s="767"/>
      <c r="K14" s="767">
        <v>45000000</v>
      </c>
      <c r="L14" s="766">
        <f t="shared" ref="L14:L18" si="5">I14-K14</f>
        <v>-15000000</v>
      </c>
      <c r="M14" s="766">
        <f t="shared" ref="M14:M19" si="6">H14+I14-K14</f>
        <v>61048198</v>
      </c>
    </row>
    <row r="15" spans="1:13" ht="24.75" customHeight="1" x14ac:dyDescent="0.25">
      <c r="A15" s="765">
        <v>5</v>
      </c>
      <c r="B15" s="572" t="s">
        <v>904</v>
      </c>
      <c r="C15" s="767">
        <v>61807700</v>
      </c>
      <c r="D15" s="767">
        <v>0</v>
      </c>
      <c r="E15" s="767"/>
      <c r="F15" s="767">
        <v>21500000</v>
      </c>
      <c r="G15" s="766">
        <f t="shared" si="1"/>
        <v>-21500000</v>
      </c>
      <c r="H15" s="766">
        <f t="shared" si="2"/>
        <v>40307700</v>
      </c>
      <c r="I15" s="767">
        <v>25000000</v>
      </c>
      <c r="J15" s="767"/>
      <c r="K15" s="767">
        <v>25000000</v>
      </c>
      <c r="L15" s="766">
        <f t="shared" si="5"/>
        <v>0</v>
      </c>
      <c r="M15" s="766">
        <f t="shared" si="6"/>
        <v>40307700</v>
      </c>
    </row>
    <row r="16" spans="1:13" ht="24.75" customHeight="1" x14ac:dyDescent="0.25">
      <c r="A16" s="765">
        <v>6</v>
      </c>
      <c r="B16" s="572" t="s">
        <v>905</v>
      </c>
      <c r="C16" s="767">
        <v>160881123</v>
      </c>
      <c r="D16" s="767">
        <v>349015</v>
      </c>
      <c r="E16" s="767"/>
      <c r="F16" s="767">
        <v>14000000</v>
      </c>
      <c r="G16" s="766">
        <f t="shared" si="1"/>
        <v>-13650985</v>
      </c>
      <c r="H16" s="766">
        <f t="shared" si="2"/>
        <v>147230138</v>
      </c>
      <c r="I16" s="767">
        <v>25000000</v>
      </c>
      <c r="J16" s="767"/>
      <c r="K16" s="767">
        <v>25000000</v>
      </c>
      <c r="L16" s="766">
        <f t="shared" si="5"/>
        <v>0</v>
      </c>
      <c r="M16" s="766">
        <f t="shared" si="6"/>
        <v>147230138</v>
      </c>
    </row>
    <row r="17" spans="1:13" ht="39.75" customHeight="1" x14ac:dyDescent="0.25">
      <c r="A17" s="765">
        <v>7</v>
      </c>
      <c r="B17" s="572" t="s">
        <v>906</v>
      </c>
      <c r="C17" s="767">
        <v>12281000</v>
      </c>
      <c r="D17" s="767"/>
      <c r="E17" s="767"/>
      <c r="F17" s="767"/>
      <c r="G17" s="766">
        <f t="shared" si="1"/>
        <v>0</v>
      </c>
      <c r="H17" s="766">
        <f t="shared" si="2"/>
        <v>12281000</v>
      </c>
      <c r="I17" s="767"/>
      <c r="J17" s="767"/>
      <c r="K17" s="767"/>
      <c r="L17" s="766">
        <f t="shared" si="5"/>
        <v>0</v>
      </c>
      <c r="M17" s="766">
        <f t="shared" si="6"/>
        <v>12281000</v>
      </c>
    </row>
    <row r="18" spans="1:13" ht="27" customHeight="1" x14ac:dyDescent="0.25">
      <c r="A18" s="765">
        <v>8</v>
      </c>
      <c r="B18" s="769" t="s">
        <v>907</v>
      </c>
      <c r="C18" s="767">
        <v>74452736</v>
      </c>
      <c r="D18" s="767">
        <v>5759319</v>
      </c>
      <c r="E18" s="767"/>
      <c r="F18" s="767">
        <v>58000000</v>
      </c>
      <c r="G18" s="766">
        <f t="shared" ref="G18:G19" si="7">D18-F18</f>
        <v>-52240681</v>
      </c>
      <c r="H18" s="766">
        <f t="shared" ref="H18:H19" si="8">C18+D18-F18</f>
        <v>22212055</v>
      </c>
      <c r="I18" s="767">
        <v>20000000</v>
      </c>
      <c r="J18" s="767"/>
      <c r="K18" s="767">
        <v>30000000</v>
      </c>
      <c r="L18" s="766">
        <f t="shared" si="5"/>
        <v>-10000000</v>
      </c>
      <c r="M18" s="766">
        <f t="shared" si="6"/>
        <v>12212055</v>
      </c>
    </row>
    <row r="19" spans="1:13" ht="27" customHeight="1" x14ac:dyDescent="0.25">
      <c r="A19" s="765">
        <v>9</v>
      </c>
      <c r="B19" s="769" t="s">
        <v>908</v>
      </c>
      <c r="C19" s="767"/>
      <c r="D19" s="767">
        <v>543500</v>
      </c>
      <c r="E19" s="767"/>
      <c r="F19" s="767">
        <v>0</v>
      </c>
      <c r="G19" s="766">
        <f t="shared" si="7"/>
        <v>543500</v>
      </c>
      <c r="H19" s="766">
        <f t="shared" si="8"/>
        <v>543500</v>
      </c>
      <c r="I19" s="767"/>
      <c r="J19" s="767"/>
      <c r="K19" s="767"/>
      <c r="L19" s="767"/>
      <c r="M19" s="766">
        <f t="shared" si="6"/>
        <v>543500</v>
      </c>
    </row>
    <row r="20" spans="1:13" x14ac:dyDescent="0.25">
      <c r="A20" s="770"/>
    </row>
  </sheetData>
  <mergeCells count="18">
    <mergeCell ref="A3:M3"/>
    <mergeCell ref="A4:M4"/>
    <mergeCell ref="A5:M5"/>
    <mergeCell ref="K1:M1"/>
    <mergeCell ref="A2:M2"/>
    <mergeCell ref="A6:A8"/>
    <mergeCell ref="B6:B8"/>
    <mergeCell ref="C6:C8"/>
    <mergeCell ref="D6:G6"/>
    <mergeCell ref="H6:H8"/>
    <mergeCell ref="M6:M8"/>
    <mergeCell ref="D7:E7"/>
    <mergeCell ref="F7:F8"/>
    <mergeCell ref="G7:G8"/>
    <mergeCell ref="I7:J7"/>
    <mergeCell ref="K7:K8"/>
    <mergeCell ref="L7:L8"/>
    <mergeCell ref="I6:L6"/>
  </mergeCells>
  <pageMargins left="0.36" right="0.16" top="0.39" bottom="0.44" header="0.3" footer="0.2"/>
  <pageSetup paperSize="9" scale="86" firstPageNumber="18" orientation="landscape" useFirstPageNumber="1" verticalDpi="0" r:id="rId1"/>
  <headerFooter>
    <oddFooter>&amp;C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workbookViewId="0">
      <selection activeCell="N22" sqref="N22"/>
    </sheetView>
  </sheetViews>
  <sheetFormatPr defaultColWidth="9" defaultRowHeight="15" x14ac:dyDescent="0.25"/>
  <cols>
    <col min="1" max="1" width="4.28515625" style="86" customWidth="1"/>
    <col min="2" max="2" width="26.28515625" style="86" customWidth="1"/>
    <col min="3" max="3" width="8.42578125" style="87" customWidth="1"/>
    <col min="4" max="4" width="8.42578125" style="87" hidden="1" customWidth="1"/>
    <col min="5" max="5" width="9.28515625" style="86" hidden="1" customWidth="1"/>
    <col min="6" max="6" width="9" style="86"/>
    <col min="7" max="7" width="14.42578125" style="86" customWidth="1"/>
    <col min="8" max="9" width="10.42578125" style="86" customWidth="1"/>
    <col min="10" max="10" width="9.42578125" style="86" customWidth="1"/>
    <col min="11" max="11" width="10.42578125" style="86" customWidth="1"/>
    <col min="12" max="12" width="10.140625" style="86" customWidth="1"/>
    <col min="13" max="13" width="9.42578125" style="86" customWidth="1"/>
    <col min="14" max="15" width="10.28515625" style="86" bestFit="1" customWidth="1"/>
    <col min="16" max="16" width="9.5703125" style="86" customWidth="1"/>
    <col min="17" max="17" width="9.85546875" style="86" customWidth="1"/>
    <col min="18" max="18" width="5.42578125" style="86" customWidth="1"/>
    <col min="19" max="19" width="5.42578125" style="88" hidden="1" customWidth="1"/>
    <col min="20" max="20" width="9" style="86" hidden="1" customWidth="1"/>
    <col min="21" max="21" width="8.42578125" style="86" hidden="1" customWidth="1"/>
    <col min="22" max="22" width="8.28515625" style="86" hidden="1" customWidth="1"/>
    <col min="23" max="24" width="9" style="86" hidden="1" customWidth="1"/>
    <col min="25" max="25" width="8.140625" style="86" hidden="1" customWidth="1"/>
    <col min="26" max="32" width="9" style="86" hidden="1" customWidth="1"/>
    <col min="33" max="16384" width="9" style="86"/>
  </cols>
  <sheetData>
    <row r="1" spans="1:32" ht="50.25" customHeight="1" x14ac:dyDescent="0.25">
      <c r="O1" s="943" t="s">
        <v>254</v>
      </c>
      <c r="P1" s="944"/>
      <c r="Q1" s="944"/>
      <c r="R1" s="944"/>
    </row>
    <row r="2" spans="1:32" x14ac:dyDescent="0.25">
      <c r="A2" s="945" t="s">
        <v>871</v>
      </c>
      <c r="B2" s="945"/>
      <c r="C2" s="945"/>
      <c r="D2" s="945"/>
      <c r="E2" s="945"/>
      <c r="F2" s="945"/>
      <c r="G2" s="945"/>
      <c r="H2" s="945"/>
      <c r="I2" s="945"/>
      <c r="J2" s="945"/>
      <c r="K2" s="945"/>
      <c r="L2" s="945"/>
      <c r="M2" s="945"/>
      <c r="N2" s="945"/>
      <c r="O2" s="945"/>
      <c r="P2" s="945"/>
      <c r="Q2" s="945"/>
      <c r="R2" s="945"/>
      <c r="S2" s="89"/>
    </row>
    <row r="3" spans="1:32" x14ac:dyDescent="0.25">
      <c r="A3" s="946" t="s">
        <v>385</v>
      </c>
      <c r="B3" s="946"/>
      <c r="C3" s="946"/>
      <c r="D3" s="946"/>
      <c r="E3" s="946"/>
      <c r="F3" s="946"/>
      <c r="G3" s="946"/>
      <c r="H3" s="946"/>
      <c r="I3" s="946"/>
      <c r="J3" s="946"/>
      <c r="K3" s="946"/>
      <c r="L3" s="946"/>
      <c r="M3" s="946"/>
      <c r="N3" s="946"/>
      <c r="O3" s="946"/>
      <c r="P3" s="946"/>
      <c r="Q3" s="946"/>
      <c r="R3" s="946"/>
      <c r="S3" s="90"/>
    </row>
    <row r="4" spans="1:32" x14ac:dyDescent="0.25">
      <c r="A4" s="947" t="str">
        <f>'45'!A4:M4</f>
        <v>(Kèm theo Nghị quyết số: 33 /NQ-HĐND ngày  19/12/2025 của HĐND xã Cao Minh)</v>
      </c>
      <c r="B4" s="947"/>
      <c r="C4" s="947"/>
      <c r="D4" s="947"/>
      <c r="E4" s="947"/>
      <c r="F4" s="947"/>
      <c r="G4" s="947"/>
      <c r="H4" s="947"/>
      <c r="I4" s="947"/>
      <c r="J4" s="947"/>
      <c r="K4" s="947"/>
      <c r="L4" s="947"/>
      <c r="M4" s="947"/>
      <c r="N4" s="947"/>
      <c r="O4" s="947"/>
      <c r="P4" s="947"/>
      <c r="Q4" s="947"/>
      <c r="R4" s="947"/>
      <c r="S4" s="91"/>
    </row>
    <row r="5" spans="1:32" x14ac:dyDescent="0.25">
      <c r="A5" s="948" t="s">
        <v>228</v>
      </c>
      <c r="B5" s="948"/>
      <c r="C5" s="948"/>
      <c r="D5" s="948"/>
      <c r="E5" s="948"/>
      <c r="F5" s="948"/>
      <c r="G5" s="948"/>
      <c r="H5" s="948"/>
      <c r="I5" s="948"/>
      <c r="J5" s="948"/>
      <c r="K5" s="948"/>
      <c r="L5" s="948"/>
      <c r="M5" s="948"/>
      <c r="N5" s="948"/>
      <c r="O5" s="948"/>
      <c r="P5" s="948"/>
      <c r="Q5" s="948"/>
      <c r="R5" s="948"/>
      <c r="S5" s="92"/>
    </row>
    <row r="6" spans="1:32" x14ac:dyDescent="0.25">
      <c r="A6" s="938" t="s">
        <v>0</v>
      </c>
      <c r="B6" s="938" t="s">
        <v>256</v>
      </c>
      <c r="C6" s="938" t="s">
        <v>257</v>
      </c>
      <c r="D6" s="938" t="s">
        <v>258</v>
      </c>
      <c r="E6" s="949" t="s">
        <v>259</v>
      </c>
      <c r="F6" s="938" t="s">
        <v>260</v>
      </c>
      <c r="G6" s="949" t="s">
        <v>261</v>
      </c>
      <c r="H6" s="949" t="s">
        <v>387</v>
      </c>
      <c r="I6" s="949"/>
      <c r="J6" s="949"/>
      <c r="K6" s="940" t="s">
        <v>262</v>
      </c>
      <c r="L6" s="941"/>
      <c r="M6" s="942"/>
      <c r="N6" s="940" t="s">
        <v>388</v>
      </c>
      <c r="O6" s="941"/>
      <c r="P6" s="942"/>
      <c r="Q6" s="938" t="s">
        <v>263</v>
      </c>
      <c r="R6" s="938" t="s">
        <v>264</v>
      </c>
      <c r="S6" s="94"/>
      <c r="T6" s="940" t="s">
        <v>265</v>
      </c>
      <c r="U6" s="941"/>
      <c r="V6" s="942"/>
      <c r="W6" s="940" t="s">
        <v>266</v>
      </c>
      <c r="X6" s="941"/>
      <c r="Y6" s="942"/>
      <c r="Z6" s="940" t="s">
        <v>267</v>
      </c>
      <c r="AA6" s="941"/>
      <c r="AB6" s="942"/>
      <c r="AD6" s="940" t="s">
        <v>268</v>
      </c>
      <c r="AE6" s="941"/>
      <c r="AF6" s="942"/>
    </row>
    <row r="7" spans="1:32" ht="27" customHeight="1" x14ac:dyDescent="0.25">
      <c r="A7" s="939"/>
      <c r="B7" s="939"/>
      <c r="C7" s="939"/>
      <c r="D7" s="939"/>
      <c r="E7" s="949"/>
      <c r="F7" s="939"/>
      <c r="G7" s="949"/>
      <c r="H7" s="93" t="s">
        <v>269</v>
      </c>
      <c r="I7" s="93" t="s">
        <v>189</v>
      </c>
      <c r="J7" s="93" t="s">
        <v>243</v>
      </c>
      <c r="K7" s="93" t="s">
        <v>269</v>
      </c>
      <c r="L7" s="93" t="s">
        <v>189</v>
      </c>
      <c r="M7" s="93" t="s">
        <v>243</v>
      </c>
      <c r="N7" s="93" t="s">
        <v>269</v>
      </c>
      <c r="O7" s="93" t="s">
        <v>189</v>
      </c>
      <c r="P7" s="93" t="s">
        <v>243</v>
      </c>
      <c r="Q7" s="939"/>
      <c r="R7" s="939"/>
      <c r="S7" s="95"/>
      <c r="T7" s="93" t="s">
        <v>269</v>
      </c>
      <c r="U7" s="93" t="s">
        <v>189</v>
      </c>
      <c r="V7" s="93" t="s">
        <v>243</v>
      </c>
      <c r="W7" s="93" t="s">
        <v>269</v>
      </c>
      <c r="X7" s="93" t="s">
        <v>189</v>
      </c>
      <c r="Y7" s="93" t="s">
        <v>243</v>
      </c>
      <c r="Z7" s="93" t="s">
        <v>269</v>
      </c>
      <c r="AA7" s="93" t="s">
        <v>189</v>
      </c>
      <c r="AB7" s="93" t="s">
        <v>243</v>
      </c>
      <c r="AD7" s="93" t="s">
        <v>269</v>
      </c>
      <c r="AE7" s="93" t="s">
        <v>189</v>
      </c>
      <c r="AF7" s="93" t="s">
        <v>243</v>
      </c>
    </row>
    <row r="8" spans="1:32" s="99" customFormat="1" x14ac:dyDescent="0.25">
      <c r="A8" s="96" t="s">
        <v>6</v>
      </c>
      <c r="B8" s="96" t="s">
        <v>7</v>
      </c>
      <c r="C8" s="96">
        <v>1</v>
      </c>
      <c r="D8" s="96"/>
      <c r="E8" s="96">
        <v>2</v>
      </c>
      <c r="F8" s="96">
        <v>2</v>
      </c>
      <c r="G8" s="96">
        <v>3</v>
      </c>
      <c r="H8" s="96">
        <v>4</v>
      </c>
      <c r="I8" s="96">
        <v>5</v>
      </c>
      <c r="J8" s="96">
        <v>6</v>
      </c>
      <c r="K8" s="96">
        <v>7</v>
      </c>
      <c r="L8" s="96">
        <v>8</v>
      </c>
      <c r="M8" s="96">
        <v>9</v>
      </c>
      <c r="N8" s="96">
        <v>10</v>
      </c>
      <c r="O8" s="96">
        <v>11</v>
      </c>
      <c r="P8" s="96">
        <v>12</v>
      </c>
      <c r="Q8" s="96">
        <v>13</v>
      </c>
      <c r="R8" s="96">
        <v>14</v>
      </c>
      <c r="S8" s="97"/>
      <c r="T8" s="98">
        <v>16</v>
      </c>
      <c r="U8" s="98">
        <v>17</v>
      </c>
      <c r="V8" s="98">
        <v>18</v>
      </c>
      <c r="W8" s="98">
        <v>34</v>
      </c>
      <c r="X8" s="98">
        <v>35</v>
      </c>
      <c r="Y8" s="98">
        <v>36</v>
      </c>
      <c r="Z8" s="98"/>
      <c r="AA8" s="98"/>
      <c r="AB8" s="98"/>
      <c r="AD8" s="96">
        <v>10</v>
      </c>
      <c r="AE8" s="96">
        <v>11</v>
      </c>
      <c r="AF8" s="96">
        <v>12</v>
      </c>
    </row>
    <row r="9" spans="1:32" x14ac:dyDescent="0.25">
      <c r="A9" s="100"/>
      <c r="B9" s="101" t="s">
        <v>270</v>
      </c>
      <c r="C9" s="102"/>
      <c r="D9" s="102"/>
      <c r="E9" s="103"/>
      <c r="F9" s="103"/>
      <c r="G9" s="103"/>
      <c r="H9" s="104">
        <f t="shared" ref="H9:M9" si="0">H10+H15+H27</f>
        <v>0</v>
      </c>
      <c r="I9" s="104">
        <f t="shared" si="0"/>
        <v>0</v>
      </c>
      <c r="J9" s="104">
        <f t="shared" si="0"/>
        <v>0</v>
      </c>
      <c r="K9" s="104">
        <f t="shared" si="0"/>
        <v>0</v>
      </c>
      <c r="L9" s="104">
        <f t="shared" si="0"/>
        <v>0</v>
      </c>
      <c r="M9" s="104">
        <f t="shared" si="0"/>
        <v>0</v>
      </c>
      <c r="N9" s="104">
        <f>N10+N15+N27</f>
        <v>0</v>
      </c>
      <c r="O9" s="104">
        <f t="shared" ref="O9:AB9" si="1">O10+O15+O27</f>
        <v>0</v>
      </c>
      <c r="P9" s="104">
        <f t="shared" si="1"/>
        <v>0</v>
      </c>
      <c r="Q9" s="104"/>
      <c r="R9" s="104"/>
      <c r="S9" s="105"/>
      <c r="T9" s="106">
        <f t="shared" si="1"/>
        <v>7533130408</v>
      </c>
      <c r="U9" s="106">
        <f t="shared" si="1"/>
        <v>6741630408</v>
      </c>
      <c r="V9" s="106">
        <f t="shared" si="1"/>
        <v>791500000</v>
      </c>
      <c r="W9" s="106">
        <f t="shared" si="1"/>
        <v>94449146</v>
      </c>
      <c r="X9" s="106">
        <f t="shared" si="1"/>
        <v>94449146</v>
      </c>
      <c r="Y9" s="106">
        <f t="shared" si="1"/>
        <v>0</v>
      </c>
      <c r="Z9" s="106">
        <f t="shared" si="1"/>
        <v>-5975461000</v>
      </c>
      <c r="AA9" s="106">
        <f t="shared" si="1"/>
        <v>-5349461000</v>
      </c>
      <c r="AB9" s="106">
        <f t="shared" si="1"/>
        <v>-791500000</v>
      </c>
      <c r="AD9" s="104">
        <f>AD10+AD15+AD27</f>
        <v>21036617729</v>
      </c>
      <c r="AE9" s="104">
        <f t="shared" ref="AE9:AF9" si="2">AE10+AE15+AE27</f>
        <v>19056833729</v>
      </c>
      <c r="AF9" s="104">
        <f t="shared" si="2"/>
        <v>1979784000</v>
      </c>
    </row>
    <row r="10" spans="1:32" s="114" customFormat="1" x14ac:dyDescent="0.25">
      <c r="A10" s="107" t="s">
        <v>6</v>
      </c>
      <c r="B10" s="108" t="s">
        <v>271</v>
      </c>
      <c r="C10" s="109"/>
      <c r="D10" s="109"/>
      <c r="E10" s="110"/>
      <c r="F10" s="110"/>
      <c r="G10" s="110"/>
      <c r="H10" s="111">
        <f t="shared" ref="H10:AF10" si="3">H11</f>
        <v>0</v>
      </c>
      <c r="I10" s="111">
        <f t="shared" si="3"/>
        <v>0</v>
      </c>
      <c r="J10" s="111">
        <f t="shared" si="3"/>
        <v>0</v>
      </c>
      <c r="K10" s="111">
        <f t="shared" si="3"/>
        <v>0</v>
      </c>
      <c r="L10" s="111">
        <f t="shared" si="3"/>
        <v>0</v>
      </c>
      <c r="M10" s="111">
        <f t="shared" si="3"/>
        <v>0</v>
      </c>
      <c r="N10" s="111">
        <f t="shared" si="3"/>
        <v>0</v>
      </c>
      <c r="O10" s="111">
        <f t="shared" si="3"/>
        <v>0</v>
      </c>
      <c r="P10" s="111">
        <f t="shared" si="3"/>
        <v>0</v>
      </c>
      <c r="Q10" s="111"/>
      <c r="R10" s="111"/>
      <c r="S10" s="112"/>
      <c r="T10" s="113">
        <f t="shared" si="3"/>
        <v>470308934.00000012</v>
      </c>
      <c r="U10" s="113">
        <f t="shared" si="3"/>
        <v>470308934.00000012</v>
      </c>
      <c r="V10" s="113">
        <f t="shared" si="3"/>
        <v>0</v>
      </c>
      <c r="W10" s="113">
        <f t="shared" si="3"/>
        <v>29691066</v>
      </c>
      <c r="X10" s="113">
        <f t="shared" si="3"/>
        <v>29691066</v>
      </c>
      <c r="Y10" s="113">
        <f t="shared" si="3"/>
        <v>0</v>
      </c>
      <c r="Z10" s="113">
        <f t="shared" si="3"/>
        <v>0</v>
      </c>
      <c r="AA10" s="113">
        <f t="shared" si="3"/>
        <v>0</v>
      </c>
      <c r="AB10" s="113">
        <f t="shared" si="3"/>
        <v>0</v>
      </c>
      <c r="AD10" s="111">
        <f t="shared" si="3"/>
        <v>3699999175</v>
      </c>
      <c r="AE10" s="111">
        <f t="shared" si="3"/>
        <v>3345615175</v>
      </c>
      <c r="AF10" s="111">
        <f t="shared" si="3"/>
        <v>354384000</v>
      </c>
    </row>
    <row r="11" spans="1:32" ht="33.75" x14ac:dyDescent="0.25">
      <c r="A11" s="100" t="s">
        <v>23</v>
      </c>
      <c r="B11" s="115" t="s">
        <v>272</v>
      </c>
      <c r="C11" s="116"/>
      <c r="D11" s="116"/>
      <c r="E11" s="117"/>
      <c r="F11" s="117"/>
      <c r="G11" s="117"/>
      <c r="H11" s="118">
        <f t="shared" ref="H11:M11" si="4">SUM(H12:H13)</f>
        <v>0</v>
      </c>
      <c r="I11" s="118">
        <f t="shared" si="4"/>
        <v>0</v>
      </c>
      <c r="J11" s="118">
        <f t="shared" si="4"/>
        <v>0</v>
      </c>
      <c r="K11" s="118">
        <f t="shared" si="4"/>
        <v>0</v>
      </c>
      <c r="L11" s="118">
        <f t="shared" si="4"/>
        <v>0</v>
      </c>
      <c r="M11" s="118">
        <f t="shared" si="4"/>
        <v>0</v>
      </c>
      <c r="N11" s="118">
        <f>SUM(N12:N14)</f>
        <v>0</v>
      </c>
      <c r="O11" s="118">
        <f t="shared" ref="O11:P11" si="5">SUM(O12:O14)</f>
        <v>0</v>
      </c>
      <c r="P11" s="118">
        <f t="shared" si="5"/>
        <v>0</v>
      </c>
      <c r="Q11" s="118"/>
      <c r="R11" s="118"/>
      <c r="S11" s="112"/>
      <c r="T11" s="119">
        <f t="shared" ref="T11:AB11" si="6">SUM(T12:T13)</f>
        <v>470308934.00000012</v>
      </c>
      <c r="U11" s="119">
        <f t="shared" si="6"/>
        <v>470308934.00000012</v>
      </c>
      <c r="V11" s="119">
        <f t="shared" si="6"/>
        <v>0</v>
      </c>
      <c r="W11" s="119">
        <f t="shared" si="6"/>
        <v>29691066</v>
      </c>
      <c r="X11" s="119">
        <f t="shared" si="6"/>
        <v>29691066</v>
      </c>
      <c r="Y11" s="119">
        <f t="shared" si="6"/>
        <v>0</v>
      </c>
      <c r="Z11" s="119">
        <f t="shared" si="6"/>
        <v>0</v>
      </c>
      <c r="AA11" s="119">
        <f t="shared" si="6"/>
        <v>0</v>
      </c>
      <c r="AB11" s="119">
        <f t="shared" si="6"/>
        <v>0</v>
      </c>
      <c r="AD11" s="118">
        <f>SUM(AD12:AD13)</f>
        <v>3699999175</v>
      </c>
      <c r="AE11" s="118">
        <f>SUM(AE12:AE13)</f>
        <v>3345615175</v>
      </c>
      <c r="AF11" s="118">
        <f>SUM(AF12:AF13)</f>
        <v>354384000</v>
      </c>
    </row>
    <row r="12" spans="1:32" x14ac:dyDescent="0.25">
      <c r="A12" s="116"/>
      <c r="B12" s="120"/>
      <c r="C12" s="121"/>
      <c r="D12" s="121"/>
      <c r="E12" s="122"/>
      <c r="F12" s="116"/>
      <c r="G12" s="123"/>
      <c r="H12" s="124"/>
      <c r="I12" s="124"/>
      <c r="J12" s="124"/>
      <c r="K12" s="124"/>
      <c r="L12" s="124"/>
      <c r="M12" s="124"/>
      <c r="N12" s="125"/>
      <c r="O12" s="126"/>
      <c r="P12" s="127"/>
      <c r="Q12" s="128"/>
      <c r="R12" s="128"/>
      <c r="S12" s="129"/>
      <c r="T12" s="125">
        <f t="shared" ref="T12:T13" si="7">U12+V12</f>
        <v>470308934.00000012</v>
      </c>
      <c r="U12" s="126">
        <v>470308934.00000012</v>
      </c>
      <c r="V12" s="126">
        <v>0</v>
      </c>
      <c r="W12" s="130">
        <v>29691066</v>
      </c>
      <c r="X12" s="130">
        <v>29691066</v>
      </c>
      <c r="Y12" s="130">
        <v>0</v>
      </c>
      <c r="Z12" s="130"/>
      <c r="AA12" s="130"/>
      <c r="AB12" s="130">
        <f>P12-V12-Y12</f>
        <v>0</v>
      </c>
      <c r="AD12" s="124">
        <f t="shared" ref="AD12:AD13" si="8">AE12+AF12</f>
        <v>500000000</v>
      </c>
      <c r="AE12" s="127">
        <v>500000000</v>
      </c>
      <c r="AF12" s="127">
        <v>0</v>
      </c>
    </row>
    <row r="13" spans="1:32" x14ac:dyDescent="0.25">
      <c r="A13" s="116"/>
      <c r="B13" s="131"/>
      <c r="C13" s="123"/>
      <c r="D13" s="123"/>
      <c r="E13" s="132"/>
      <c r="F13" s="116"/>
      <c r="G13" s="123"/>
      <c r="H13" s="124"/>
      <c r="I13" s="124"/>
      <c r="J13" s="124"/>
      <c r="K13" s="124"/>
      <c r="L13" s="124"/>
      <c r="M13" s="124"/>
      <c r="N13" s="124"/>
      <c r="O13" s="127"/>
      <c r="P13" s="127"/>
      <c r="Q13" s="128"/>
      <c r="R13" s="128"/>
      <c r="S13" s="129"/>
      <c r="T13" s="125">
        <f t="shared" si="7"/>
        <v>0</v>
      </c>
      <c r="U13" s="126">
        <v>0</v>
      </c>
      <c r="V13" s="126"/>
      <c r="W13" s="130"/>
      <c r="X13" s="130"/>
      <c r="Y13" s="130"/>
      <c r="Z13" s="130">
        <f>N13-T13-W13</f>
        <v>0</v>
      </c>
      <c r="AA13" s="130">
        <f>O13-U13-X13</f>
        <v>0</v>
      </c>
      <c r="AB13" s="130">
        <f>P13-V13-Y13</f>
        <v>0</v>
      </c>
      <c r="AD13" s="124">
        <f t="shared" si="8"/>
        <v>3199999175</v>
      </c>
      <c r="AE13" s="127">
        <v>2845615175</v>
      </c>
      <c r="AF13" s="127">
        <v>354384000</v>
      </c>
    </row>
    <row r="14" spans="1:32" x14ac:dyDescent="0.25">
      <c r="A14" s="116"/>
      <c r="B14" s="133"/>
      <c r="C14" s="123"/>
      <c r="D14" s="123"/>
      <c r="E14" s="123"/>
      <c r="F14" s="116"/>
      <c r="G14" s="123"/>
      <c r="H14" s="124"/>
      <c r="I14" s="124"/>
      <c r="J14" s="124"/>
      <c r="K14" s="124"/>
      <c r="L14" s="124"/>
      <c r="M14" s="124"/>
      <c r="N14" s="130"/>
      <c r="O14" s="130"/>
      <c r="P14" s="134"/>
      <c r="Q14" s="135"/>
      <c r="R14" s="135"/>
      <c r="S14" s="129"/>
      <c r="T14" s="125"/>
      <c r="U14" s="130"/>
      <c r="V14" s="130"/>
      <c r="W14" s="130"/>
      <c r="X14" s="130"/>
      <c r="Y14" s="130"/>
      <c r="Z14" s="130"/>
      <c r="AA14" s="130"/>
      <c r="AB14" s="130"/>
      <c r="AD14" s="124"/>
      <c r="AE14" s="134"/>
      <c r="AF14" s="134"/>
    </row>
    <row r="15" spans="1:32" s="114" customFormat="1" ht="33.75" x14ac:dyDescent="0.25">
      <c r="A15" s="107" t="s">
        <v>7</v>
      </c>
      <c r="B15" s="108" t="s">
        <v>275</v>
      </c>
      <c r="C15" s="136"/>
      <c r="D15" s="136"/>
      <c r="E15" s="107"/>
      <c r="F15" s="109"/>
      <c r="G15" s="136"/>
      <c r="H15" s="111">
        <f t="shared" ref="H15:AB15" si="9">H16+H20</f>
        <v>0</v>
      </c>
      <c r="I15" s="111">
        <f t="shared" si="9"/>
        <v>0</v>
      </c>
      <c r="J15" s="111">
        <f t="shared" si="9"/>
        <v>0</v>
      </c>
      <c r="K15" s="111">
        <f t="shared" si="9"/>
        <v>0</v>
      </c>
      <c r="L15" s="111">
        <f t="shared" si="9"/>
        <v>0</v>
      </c>
      <c r="M15" s="111">
        <f t="shared" si="9"/>
        <v>0</v>
      </c>
      <c r="N15" s="111">
        <f t="shared" si="9"/>
        <v>0</v>
      </c>
      <c r="O15" s="111">
        <f t="shared" si="9"/>
        <v>0</v>
      </c>
      <c r="P15" s="111">
        <f t="shared" si="9"/>
        <v>0</v>
      </c>
      <c r="Q15" s="111"/>
      <c r="R15" s="111"/>
      <c r="S15" s="112"/>
      <c r="T15" s="113">
        <f t="shared" si="9"/>
        <v>6487463739</v>
      </c>
      <c r="U15" s="113">
        <f t="shared" si="9"/>
        <v>5751963739</v>
      </c>
      <c r="V15" s="113">
        <f t="shared" si="9"/>
        <v>735500000</v>
      </c>
      <c r="W15" s="113">
        <f t="shared" si="9"/>
        <v>54115815</v>
      </c>
      <c r="X15" s="113">
        <f t="shared" si="9"/>
        <v>54115815</v>
      </c>
      <c r="Y15" s="113">
        <f t="shared" si="9"/>
        <v>0</v>
      </c>
      <c r="Z15" s="113">
        <f t="shared" si="9"/>
        <v>-5975461000</v>
      </c>
      <c r="AA15" s="113">
        <f t="shared" si="9"/>
        <v>-5349461000</v>
      </c>
      <c r="AB15" s="113">
        <f t="shared" si="9"/>
        <v>-735500000</v>
      </c>
      <c r="AD15" s="111">
        <f t="shared" ref="AD15:AF15" si="10">AD16+AD20</f>
        <v>16750618554</v>
      </c>
      <c r="AE15" s="111">
        <f t="shared" si="10"/>
        <v>15181218554</v>
      </c>
      <c r="AF15" s="111">
        <f t="shared" si="10"/>
        <v>1569400000</v>
      </c>
    </row>
    <row r="16" spans="1:32" s="88" customFormat="1" ht="56.25" x14ac:dyDescent="0.25">
      <c r="A16" s="137" t="s">
        <v>23</v>
      </c>
      <c r="B16" s="138" t="s">
        <v>276</v>
      </c>
      <c r="C16" s="139"/>
      <c r="D16" s="139"/>
      <c r="E16" s="140"/>
      <c r="F16" s="141"/>
      <c r="G16" s="139"/>
      <c r="H16" s="112">
        <f t="shared" ref="H16:M16" si="11">SUM(H17:H19)</f>
        <v>0</v>
      </c>
      <c r="I16" s="112">
        <f t="shared" si="11"/>
        <v>0</v>
      </c>
      <c r="J16" s="112">
        <f t="shared" si="11"/>
        <v>0</v>
      </c>
      <c r="K16" s="112">
        <f t="shared" si="11"/>
        <v>0</v>
      </c>
      <c r="L16" s="112">
        <f t="shared" si="11"/>
        <v>0</v>
      </c>
      <c r="M16" s="112">
        <f t="shared" si="11"/>
        <v>0</v>
      </c>
      <c r="N16" s="112">
        <f t="shared" ref="N16:AB16" si="12">SUM(N17:N19)</f>
        <v>0</v>
      </c>
      <c r="O16" s="112">
        <f t="shared" si="12"/>
        <v>0</v>
      </c>
      <c r="P16" s="112">
        <f t="shared" si="12"/>
        <v>0</v>
      </c>
      <c r="Q16" s="112"/>
      <c r="R16" s="112"/>
      <c r="S16" s="112"/>
      <c r="T16" s="142">
        <f t="shared" si="12"/>
        <v>4728500000</v>
      </c>
      <c r="U16" s="142">
        <f t="shared" si="12"/>
        <v>4272500000</v>
      </c>
      <c r="V16" s="142">
        <f t="shared" si="12"/>
        <v>456000000</v>
      </c>
      <c r="W16" s="142">
        <f t="shared" si="12"/>
        <v>0</v>
      </c>
      <c r="X16" s="142">
        <f t="shared" si="12"/>
        <v>0</v>
      </c>
      <c r="Y16" s="142">
        <f t="shared" si="12"/>
        <v>0</v>
      </c>
      <c r="Z16" s="142">
        <f t="shared" si="12"/>
        <v>-4728500000</v>
      </c>
      <c r="AA16" s="142">
        <f t="shared" si="12"/>
        <v>-4272500000</v>
      </c>
      <c r="AB16" s="142">
        <f t="shared" si="12"/>
        <v>-456000000</v>
      </c>
      <c r="AD16" s="112">
        <f t="shared" ref="AD16:AF16" si="13">SUM(AD17:AD19)</f>
        <v>10614500000</v>
      </c>
      <c r="AE16" s="112">
        <f t="shared" si="13"/>
        <v>9602500000</v>
      </c>
      <c r="AF16" s="112">
        <f t="shared" si="13"/>
        <v>1012000000</v>
      </c>
    </row>
    <row r="17" spans="1:32" x14ac:dyDescent="0.25">
      <c r="A17" s="116"/>
      <c r="B17" s="131"/>
      <c r="C17" s="123"/>
      <c r="D17" s="123"/>
      <c r="E17" s="143"/>
      <c r="F17" s="116"/>
      <c r="G17" s="123"/>
      <c r="H17" s="124"/>
      <c r="I17" s="124"/>
      <c r="J17" s="124"/>
      <c r="K17" s="124"/>
      <c r="L17" s="124"/>
      <c r="M17" s="124"/>
      <c r="N17" s="124"/>
      <c r="O17" s="127"/>
      <c r="P17" s="127"/>
      <c r="Q17" s="144"/>
      <c r="R17" s="144"/>
      <c r="S17" s="145"/>
      <c r="T17" s="125">
        <f t="shared" ref="T17:T19" si="14">U17+V17</f>
        <v>2331000000</v>
      </c>
      <c r="U17" s="125">
        <f>2080000000-5000000+40000000</f>
        <v>2115000000</v>
      </c>
      <c r="V17" s="125">
        <v>216000000</v>
      </c>
      <c r="W17" s="130"/>
      <c r="X17" s="130"/>
      <c r="Y17" s="130"/>
      <c r="Z17" s="130">
        <f t="shared" ref="Z17:AB19" si="15">N17-T17-W17</f>
        <v>-2331000000</v>
      </c>
      <c r="AA17" s="130">
        <f t="shared" si="15"/>
        <v>-2115000000</v>
      </c>
      <c r="AB17" s="130">
        <f t="shared" si="15"/>
        <v>-216000000</v>
      </c>
      <c r="AD17" s="124">
        <f t="shared" ref="AD17:AD19" si="16">AE17+AF17</f>
        <v>4179000000</v>
      </c>
      <c r="AE17" s="127">
        <v>3795000000</v>
      </c>
      <c r="AF17" s="127">
        <v>384000000</v>
      </c>
    </row>
    <row r="18" spans="1:32" x14ac:dyDescent="0.25">
      <c r="A18" s="116"/>
      <c r="B18" s="131"/>
      <c r="C18" s="123"/>
      <c r="D18" s="123"/>
      <c r="E18" s="143"/>
      <c r="F18" s="116"/>
      <c r="G18" s="123"/>
      <c r="H18" s="124"/>
      <c r="I18" s="124"/>
      <c r="J18" s="124"/>
      <c r="K18" s="124"/>
      <c r="L18" s="124"/>
      <c r="M18" s="124"/>
      <c r="N18" s="124"/>
      <c r="O18" s="127"/>
      <c r="P18" s="127"/>
      <c r="Q18" s="144"/>
      <c r="R18" s="144"/>
      <c r="S18" s="145"/>
      <c r="T18" s="125">
        <f t="shared" si="14"/>
        <v>1249500000</v>
      </c>
      <c r="U18" s="126">
        <v>1117500000</v>
      </c>
      <c r="V18" s="125">
        <v>132000000</v>
      </c>
      <c r="W18" s="130"/>
      <c r="X18" s="130"/>
      <c r="Y18" s="130"/>
      <c r="Z18" s="130">
        <f t="shared" si="15"/>
        <v>-1249500000</v>
      </c>
      <c r="AA18" s="130">
        <f t="shared" si="15"/>
        <v>-1117500000</v>
      </c>
      <c r="AB18" s="130">
        <f t="shared" si="15"/>
        <v>-132000000</v>
      </c>
      <c r="AD18" s="124">
        <f t="shared" si="16"/>
        <v>1601500000</v>
      </c>
      <c r="AE18" s="127">
        <v>1437500000</v>
      </c>
      <c r="AF18" s="127">
        <v>164000000</v>
      </c>
    </row>
    <row r="19" spans="1:32" x14ac:dyDescent="0.25">
      <c r="A19" s="116"/>
      <c r="B19" s="131"/>
      <c r="C19" s="123"/>
      <c r="D19" s="123"/>
      <c r="E19" s="132"/>
      <c r="F19" s="116"/>
      <c r="G19" s="123"/>
      <c r="H19" s="124"/>
      <c r="I19" s="124"/>
      <c r="J19" s="124"/>
      <c r="K19" s="124"/>
      <c r="L19" s="124"/>
      <c r="M19" s="124"/>
      <c r="N19" s="124"/>
      <c r="O19" s="127"/>
      <c r="P19" s="127"/>
      <c r="Q19" s="144"/>
      <c r="R19" s="144"/>
      <c r="S19" s="145"/>
      <c r="T19" s="125">
        <f t="shared" si="14"/>
        <v>1148000000</v>
      </c>
      <c r="U19" s="126">
        <v>1040000000</v>
      </c>
      <c r="V19" s="125">
        <v>108000000</v>
      </c>
      <c r="W19" s="130"/>
      <c r="X19" s="130"/>
      <c r="Y19" s="130"/>
      <c r="Z19" s="130">
        <f t="shared" si="15"/>
        <v>-1148000000</v>
      </c>
      <c r="AA19" s="130">
        <f t="shared" si="15"/>
        <v>-1040000000</v>
      </c>
      <c r="AB19" s="130">
        <f t="shared" si="15"/>
        <v>-108000000</v>
      </c>
      <c r="AD19" s="124">
        <f t="shared" si="16"/>
        <v>4834000000</v>
      </c>
      <c r="AE19" s="127">
        <v>4370000000</v>
      </c>
      <c r="AF19" s="127">
        <v>464000000</v>
      </c>
    </row>
    <row r="20" spans="1:32" s="88" customFormat="1" ht="45" x14ac:dyDescent="0.25">
      <c r="A20" s="137" t="s">
        <v>27</v>
      </c>
      <c r="B20" s="138" t="s">
        <v>277</v>
      </c>
      <c r="C20" s="139"/>
      <c r="D20" s="139"/>
      <c r="E20" s="140"/>
      <c r="F20" s="141"/>
      <c r="G20" s="139"/>
      <c r="H20" s="112">
        <f t="shared" ref="H20:M20" si="17">SUM(H21:H26)</f>
        <v>0</v>
      </c>
      <c r="I20" s="112">
        <f t="shared" si="17"/>
        <v>0</v>
      </c>
      <c r="J20" s="112">
        <f t="shared" si="17"/>
        <v>0</v>
      </c>
      <c r="K20" s="112">
        <f t="shared" si="17"/>
        <v>0</v>
      </c>
      <c r="L20" s="112">
        <f t="shared" si="17"/>
        <v>0</v>
      </c>
      <c r="M20" s="112">
        <f t="shared" si="17"/>
        <v>0</v>
      </c>
      <c r="N20" s="112">
        <f>SUM(N21:N26)</f>
        <v>0</v>
      </c>
      <c r="O20" s="112">
        <f>SUM(O21:O26)</f>
        <v>0</v>
      </c>
      <c r="P20" s="112">
        <f>SUM(P21:P26)</f>
        <v>0</v>
      </c>
      <c r="Q20" s="112"/>
      <c r="R20" s="112"/>
      <c r="S20" s="112"/>
      <c r="T20" s="142">
        <f t="shared" ref="T20:AB20" si="18">SUM(T21:T26)</f>
        <v>1758963739</v>
      </c>
      <c r="U20" s="142">
        <f t="shared" si="18"/>
        <v>1479463739</v>
      </c>
      <c r="V20" s="142">
        <f t="shared" si="18"/>
        <v>279500000</v>
      </c>
      <c r="W20" s="142">
        <f t="shared" si="18"/>
        <v>54115815</v>
      </c>
      <c r="X20" s="142">
        <f t="shared" si="18"/>
        <v>54115815</v>
      </c>
      <c r="Y20" s="142">
        <f t="shared" si="18"/>
        <v>0</v>
      </c>
      <c r="Z20" s="142">
        <f t="shared" si="18"/>
        <v>-1246961000</v>
      </c>
      <c r="AA20" s="142">
        <f t="shared" si="18"/>
        <v>-1076961000</v>
      </c>
      <c r="AB20" s="142">
        <f t="shared" si="18"/>
        <v>-279500000</v>
      </c>
      <c r="AD20" s="112">
        <f>SUM(AD21:AD26)</f>
        <v>6136118554</v>
      </c>
      <c r="AE20" s="112">
        <f>SUM(AE21:AE26)</f>
        <v>5578718554</v>
      </c>
      <c r="AF20" s="112">
        <f>SUM(AF21:AF26)</f>
        <v>557400000</v>
      </c>
    </row>
    <row r="21" spans="1:32" x14ac:dyDescent="0.25">
      <c r="A21" s="116"/>
      <c r="B21" s="131"/>
      <c r="C21" s="123"/>
      <c r="D21" s="123"/>
      <c r="E21" s="132"/>
      <c r="F21" s="116"/>
      <c r="G21" s="123"/>
      <c r="H21" s="124"/>
      <c r="I21" s="124"/>
      <c r="J21" s="124"/>
      <c r="K21" s="124"/>
      <c r="L21" s="124"/>
      <c r="M21" s="124"/>
      <c r="N21" s="124"/>
      <c r="O21" s="134"/>
      <c r="P21" s="134"/>
      <c r="Q21" s="128"/>
      <c r="R21" s="128"/>
      <c r="S21" s="129"/>
      <c r="T21" s="125">
        <f t="shared" ref="T21:T26" si="19">U21+V21</f>
        <v>0</v>
      </c>
      <c r="U21" s="126">
        <v>0</v>
      </c>
      <c r="V21" s="126">
        <v>0</v>
      </c>
      <c r="W21" s="130"/>
      <c r="X21" s="130"/>
      <c r="Y21" s="130"/>
      <c r="Z21" s="130">
        <f>N21-T21-W21</f>
        <v>0</v>
      </c>
      <c r="AA21" s="130">
        <f>O21-U21-X21</f>
        <v>0</v>
      </c>
      <c r="AB21" s="130">
        <f>P21-V21-Y21</f>
        <v>0</v>
      </c>
      <c r="AD21" s="124">
        <f t="shared" ref="AD21:AD22" si="20">AE21+AF21</f>
        <v>1000000000</v>
      </c>
      <c r="AE21" s="134">
        <v>900000000</v>
      </c>
      <c r="AF21" s="134">
        <v>100000000</v>
      </c>
    </row>
    <row r="22" spans="1:32" x14ac:dyDescent="0.25">
      <c r="A22" s="116"/>
      <c r="B22" s="131"/>
      <c r="C22" s="123"/>
      <c r="D22" s="123"/>
      <c r="E22" s="122"/>
      <c r="F22" s="116"/>
      <c r="G22" s="123"/>
      <c r="H22" s="124"/>
      <c r="I22" s="124"/>
      <c r="J22" s="124"/>
      <c r="K22" s="124"/>
      <c r="L22" s="124"/>
      <c r="M22" s="124"/>
      <c r="N22" s="124"/>
      <c r="O22" s="134"/>
      <c r="P22" s="134"/>
      <c r="Q22" s="128"/>
      <c r="R22" s="128"/>
      <c r="S22" s="129"/>
      <c r="T22" s="125">
        <f t="shared" si="19"/>
        <v>512002739</v>
      </c>
      <c r="U22" s="126">
        <v>402502739</v>
      </c>
      <c r="V22" s="126">
        <v>109500000</v>
      </c>
      <c r="W22" s="130">
        <v>54115815</v>
      </c>
      <c r="X22" s="130">
        <v>54115815</v>
      </c>
      <c r="Y22" s="130">
        <v>0</v>
      </c>
      <c r="Z22" s="130"/>
      <c r="AA22" s="130"/>
      <c r="AB22" s="130">
        <f>P22-V22-Y22</f>
        <v>-109500000</v>
      </c>
      <c r="AD22" s="124">
        <f t="shared" si="20"/>
        <v>566118554</v>
      </c>
      <c r="AE22" s="134">
        <v>456618554</v>
      </c>
      <c r="AF22" s="134">
        <v>109500000</v>
      </c>
    </row>
    <row r="23" spans="1:32" x14ac:dyDescent="0.25">
      <c r="A23" s="116"/>
      <c r="B23" s="120"/>
      <c r="C23" s="123"/>
      <c r="D23" s="123"/>
      <c r="E23" s="143"/>
      <c r="F23" s="116"/>
      <c r="G23" s="123"/>
      <c r="H23" s="124"/>
      <c r="I23" s="124"/>
      <c r="J23" s="124"/>
      <c r="K23" s="124"/>
      <c r="L23" s="124"/>
      <c r="M23" s="124"/>
      <c r="N23" s="124"/>
      <c r="O23" s="134"/>
      <c r="P23" s="134"/>
      <c r="Q23" s="128"/>
      <c r="R23" s="128"/>
      <c r="S23" s="129"/>
      <c r="T23" s="125">
        <f>U23+V23</f>
        <v>0</v>
      </c>
      <c r="U23" s="126">
        <v>0</v>
      </c>
      <c r="V23" s="126">
        <v>0</v>
      </c>
      <c r="W23" s="130"/>
      <c r="X23" s="130"/>
      <c r="Y23" s="130"/>
      <c r="Z23" s="130">
        <f t="shared" ref="Z23:AA26" si="21">N23-T23-W23</f>
        <v>0</v>
      </c>
      <c r="AA23" s="130">
        <f t="shared" si="21"/>
        <v>0</v>
      </c>
      <c r="AB23" s="130">
        <f>P23-V23-Y23</f>
        <v>0</v>
      </c>
      <c r="AD23" s="124">
        <f>AE23+AF23</f>
        <v>700000000</v>
      </c>
      <c r="AE23" s="134">
        <v>700000000</v>
      </c>
      <c r="AF23" s="134">
        <v>0</v>
      </c>
    </row>
    <row r="24" spans="1:32" x14ac:dyDescent="0.25">
      <c r="A24" s="116"/>
      <c r="B24" s="120"/>
      <c r="C24" s="123"/>
      <c r="D24" s="123"/>
      <c r="E24" s="143"/>
      <c r="F24" s="116"/>
      <c r="G24" s="123"/>
      <c r="H24" s="124"/>
      <c r="I24" s="124"/>
      <c r="J24" s="124"/>
      <c r="K24" s="124"/>
      <c r="L24" s="124"/>
      <c r="M24" s="124"/>
      <c r="N24" s="124"/>
      <c r="O24" s="134"/>
      <c r="P24" s="134"/>
      <c r="Q24" s="128"/>
      <c r="R24" s="128"/>
      <c r="S24" s="129"/>
      <c r="T24" s="125">
        <f>U24+V24</f>
        <v>351461000</v>
      </c>
      <c r="U24" s="126">
        <v>351461000</v>
      </c>
      <c r="V24" s="126">
        <v>0</v>
      </c>
      <c r="W24" s="130"/>
      <c r="X24" s="130"/>
      <c r="Y24" s="130"/>
      <c r="Z24" s="130">
        <f t="shared" si="21"/>
        <v>-351461000</v>
      </c>
      <c r="AA24" s="130">
        <f t="shared" si="21"/>
        <v>-351461000</v>
      </c>
      <c r="AB24" s="130">
        <f>P24-V24-Y24</f>
        <v>0</v>
      </c>
      <c r="AD24" s="124">
        <f>AE24+AF24</f>
        <v>1200000000</v>
      </c>
      <c r="AE24" s="134">
        <v>1200000000</v>
      </c>
      <c r="AF24" s="134">
        <v>0</v>
      </c>
    </row>
    <row r="25" spans="1:32" x14ac:dyDescent="0.25">
      <c r="A25" s="116"/>
      <c r="B25" s="120"/>
      <c r="C25" s="123"/>
      <c r="D25" s="123"/>
      <c r="E25" s="143"/>
      <c r="F25" s="116"/>
      <c r="G25" s="123"/>
      <c r="H25" s="124"/>
      <c r="I25" s="124"/>
      <c r="J25" s="124"/>
      <c r="K25" s="124"/>
      <c r="L25" s="124"/>
      <c r="M25" s="124"/>
      <c r="N25" s="124"/>
      <c r="O25" s="134"/>
      <c r="P25" s="134"/>
      <c r="Q25" s="128"/>
      <c r="R25" s="128"/>
      <c r="S25" s="129"/>
      <c r="T25" s="125">
        <f>U25+V25</f>
        <v>725500000</v>
      </c>
      <c r="U25" s="126">
        <v>725500000</v>
      </c>
      <c r="V25" s="126">
        <v>0</v>
      </c>
      <c r="W25" s="130"/>
      <c r="X25" s="130"/>
      <c r="Y25" s="130"/>
      <c r="Z25" s="130">
        <f t="shared" si="21"/>
        <v>-725500000</v>
      </c>
      <c r="AA25" s="130">
        <f t="shared" si="21"/>
        <v>-725500000</v>
      </c>
      <c r="AB25" s="130">
        <f>P25-V25-Y25</f>
        <v>0</v>
      </c>
      <c r="AD25" s="124">
        <f>AE25+AF25</f>
        <v>2500000000</v>
      </c>
      <c r="AE25" s="134">
        <v>2322100000</v>
      </c>
      <c r="AF25" s="134">
        <v>177900000</v>
      </c>
    </row>
    <row r="26" spans="1:32" x14ac:dyDescent="0.25">
      <c r="A26" s="116"/>
      <c r="B26" s="120"/>
      <c r="C26" s="123"/>
      <c r="D26" s="123"/>
      <c r="E26" s="122"/>
      <c r="F26" s="116"/>
      <c r="G26" s="123"/>
      <c r="H26" s="124"/>
      <c r="I26" s="124"/>
      <c r="J26" s="124"/>
      <c r="K26" s="124"/>
      <c r="L26" s="124"/>
      <c r="M26" s="124"/>
      <c r="N26" s="124"/>
      <c r="O26" s="134"/>
      <c r="P26" s="134"/>
      <c r="Q26" s="128"/>
      <c r="R26" s="128"/>
      <c r="S26" s="129"/>
      <c r="T26" s="125">
        <f t="shared" si="19"/>
        <v>170000000</v>
      </c>
      <c r="U26" s="126">
        <v>0</v>
      </c>
      <c r="V26" s="126">
        <v>170000000</v>
      </c>
      <c r="W26" s="130"/>
      <c r="X26" s="130"/>
      <c r="Y26" s="130"/>
      <c r="Z26" s="130">
        <f t="shared" si="21"/>
        <v>-170000000</v>
      </c>
      <c r="AA26" s="130">
        <f t="shared" si="21"/>
        <v>0</v>
      </c>
      <c r="AB26" s="130">
        <f>P26-V26-Y26</f>
        <v>-170000000</v>
      </c>
      <c r="AD26" s="124">
        <f t="shared" ref="AD26" si="22">AE26+AF26</f>
        <v>170000000</v>
      </c>
      <c r="AE26" s="134">
        <v>0</v>
      </c>
      <c r="AF26" s="134">
        <v>170000000</v>
      </c>
    </row>
    <row r="27" spans="1:32" s="114" customFormat="1" ht="22.5" x14ac:dyDescent="0.25">
      <c r="A27" s="107" t="s">
        <v>49</v>
      </c>
      <c r="B27" s="108" t="s">
        <v>278</v>
      </c>
      <c r="C27" s="136"/>
      <c r="D27" s="136"/>
      <c r="E27" s="107"/>
      <c r="F27" s="109"/>
      <c r="G27" s="136"/>
      <c r="H27" s="111">
        <f t="shared" ref="H27:M27" si="23">SUM(H28:H28)</f>
        <v>0</v>
      </c>
      <c r="I27" s="111">
        <f t="shared" si="23"/>
        <v>0</v>
      </c>
      <c r="J27" s="111">
        <f t="shared" si="23"/>
        <v>0</v>
      </c>
      <c r="K27" s="111">
        <f t="shared" si="23"/>
        <v>0</v>
      </c>
      <c r="L27" s="111">
        <f t="shared" si="23"/>
        <v>0</v>
      </c>
      <c r="M27" s="111">
        <f t="shared" si="23"/>
        <v>0</v>
      </c>
      <c r="N27" s="111">
        <f>N28+N29</f>
        <v>0</v>
      </c>
      <c r="O27" s="111">
        <f t="shared" ref="O27:P27" si="24">O28+O29</f>
        <v>0</v>
      </c>
      <c r="P27" s="111">
        <f t="shared" si="24"/>
        <v>0</v>
      </c>
      <c r="Q27" s="111"/>
      <c r="R27" s="111"/>
      <c r="S27" s="112"/>
      <c r="T27" s="113">
        <f t="shared" ref="T27:AB27" si="25">SUM(T28:T28)</f>
        <v>575357735</v>
      </c>
      <c r="U27" s="113">
        <f t="shared" si="25"/>
        <v>519357735.00000006</v>
      </c>
      <c r="V27" s="113">
        <f t="shared" si="25"/>
        <v>56000000</v>
      </c>
      <c r="W27" s="113">
        <f t="shared" si="25"/>
        <v>10642265</v>
      </c>
      <c r="X27" s="113">
        <f t="shared" si="25"/>
        <v>10642265</v>
      </c>
      <c r="Y27" s="113">
        <f t="shared" si="25"/>
        <v>0</v>
      </c>
      <c r="Z27" s="113">
        <f t="shared" si="25"/>
        <v>0</v>
      </c>
      <c r="AA27" s="113">
        <f t="shared" si="25"/>
        <v>0</v>
      </c>
      <c r="AB27" s="113">
        <f t="shared" si="25"/>
        <v>-56000000</v>
      </c>
      <c r="AD27" s="111">
        <f>SUM(AD28:AD28)</f>
        <v>586000000</v>
      </c>
      <c r="AE27" s="111">
        <f>SUM(AE28:AE28)</f>
        <v>530000000</v>
      </c>
      <c r="AF27" s="111">
        <f>SUM(AF28:AF28)</f>
        <v>56000000</v>
      </c>
    </row>
    <row r="28" spans="1:32" x14ac:dyDescent="0.25">
      <c r="A28" s="116"/>
      <c r="B28" s="120"/>
      <c r="C28" s="121"/>
      <c r="D28" s="121"/>
      <c r="E28" s="146"/>
      <c r="F28" s="116"/>
      <c r="G28" s="123"/>
      <c r="H28" s="124"/>
      <c r="I28" s="124"/>
      <c r="J28" s="124"/>
      <c r="K28" s="124"/>
      <c r="L28" s="124"/>
      <c r="M28" s="124"/>
      <c r="N28" s="125"/>
      <c r="O28" s="126"/>
      <c r="P28" s="126"/>
      <c r="Q28" s="128"/>
      <c r="R28" s="128"/>
      <c r="S28" s="129"/>
      <c r="T28" s="125">
        <f t="shared" ref="T28" si="26">U28+V28</f>
        <v>575357735</v>
      </c>
      <c r="U28" s="126">
        <v>519357735.00000006</v>
      </c>
      <c r="V28" s="126">
        <v>56000000</v>
      </c>
      <c r="W28" s="130">
        <v>10642265</v>
      </c>
      <c r="X28" s="130">
        <f>W28</f>
        <v>10642265</v>
      </c>
      <c r="Y28" s="130">
        <v>0</v>
      </c>
      <c r="Z28" s="130"/>
      <c r="AA28" s="130"/>
      <c r="AB28" s="130">
        <f>P28-V28-Y28</f>
        <v>-56000000</v>
      </c>
      <c r="AD28" s="124">
        <f t="shared" ref="AD28" si="27">AE28+AF28</f>
        <v>586000000</v>
      </c>
      <c r="AE28" s="127">
        <v>530000000</v>
      </c>
      <c r="AF28" s="127">
        <v>56000000</v>
      </c>
    </row>
    <row r="29" spans="1:32" x14ac:dyDescent="0.25">
      <c r="A29" s="116"/>
      <c r="B29" s="120"/>
      <c r="C29" s="121"/>
      <c r="D29" s="121"/>
      <c r="E29" s="146"/>
      <c r="F29" s="116"/>
      <c r="G29" s="123"/>
      <c r="H29" s="124"/>
      <c r="I29" s="124"/>
      <c r="J29" s="124"/>
      <c r="K29" s="124"/>
      <c r="L29" s="124"/>
      <c r="M29" s="124"/>
      <c r="N29" s="125"/>
      <c r="O29" s="127"/>
      <c r="P29" s="127"/>
      <c r="Q29" s="128"/>
      <c r="R29" s="128"/>
      <c r="S29" s="129"/>
      <c r="T29" s="125"/>
      <c r="U29" s="126"/>
      <c r="V29" s="126"/>
      <c r="W29" s="130"/>
      <c r="X29" s="130"/>
      <c r="Y29" s="130"/>
      <c r="Z29" s="130"/>
      <c r="AA29" s="130"/>
      <c r="AB29" s="130"/>
      <c r="AD29" s="124"/>
      <c r="AE29" s="127"/>
      <c r="AF29" s="127"/>
    </row>
    <row r="30" spans="1:32" s="114" customFormat="1" ht="21" customHeight="1" x14ac:dyDescent="0.25">
      <c r="A30" s="107" t="s">
        <v>51</v>
      </c>
      <c r="B30" s="108" t="s">
        <v>386</v>
      </c>
      <c r="C30" s="136"/>
      <c r="D30" s="136"/>
      <c r="E30" s="107"/>
      <c r="F30" s="109"/>
      <c r="G30" s="136"/>
      <c r="H30" s="111">
        <f t="shared" ref="H30:M30" si="28">SUM(H31:H31)</f>
        <v>0</v>
      </c>
      <c r="I30" s="111">
        <f t="shared" si="28"/>
        <v>0</v>
      </c>
      <c r="J30" s="111">
        <f t="shared" si="28"/>
        <v>0</v>
      </c>
      <c r="K30" s="111">
        <f t="shared" si="28"/>
        <v>0</v>
      </c>
      <c r="L30" s="111">
        <f t="shared" si="28"/>
        <v>0</v>
      </c>
      <c r="M30" s="111">
        <f t="shared" si="28"/>
        <v>0</v>
      </c>
      <c r="N30" s="111">
        <f>N31+N32</f>
        <v>0</v>
      </c>
      <c r="O30" s="111">
        <f t="shared" ref="O30:P30" si="29">O31+O32</f>
        <v>0</v>
      </c>
      <c r="P30" s="111">
        <f t="shared" si="29"/>
        <v>0</v>
      </c>
      <c r="Q30" s="111"/>
      <c r="R30" s="111"/>
      <c r="S30" s="112"/>
      <c r="T30" s="113">
        <f t="shared" ref="T30:AB30" si="30">SUM(T31:T31)</f>
        <v>0</v>
      </c>
      <c r="U30" s="113">
        <f t="shared" si="30"/>
        <v>0</v>
      </c>
      <c r="V30" s="113">
        <f t="shared" si="30"/>
        <v>0</v>
      </c>
      <c r="W30" s="113">
        <f t="shared" si="30"/>
        <v>0</v>
      </c>
      <c r="X30" s="113">
        <f t="shared" si="30"/>
        <v>0</v>
      </c>
      <c r="Y30" s="113">
        <f t="shared" si="30"/>
        <v>0</v>
      </c>
      <c r="Z30" s="113">
        <f t="shared" si="30"/>
        <v>0</v>
      </c>
      <c r="AA30" s="113">
        <f t="shared" si="30"/>
        <v>0</v>
      </c>
      <c r="AB30" s="113">
        <f t="shared" si="30"/>
        <v>0</v>
      </c>
      <c r="AD30" s="111">
        <f>SUM(AD31:AD31)</f>
        <v>0</v>
      </c>
      <c r="AE30" s="111">
        <f>SUM(AE31:AE31)</f>
        <v>0</v>
      </c>
      <c r="AF30" s="111">
        <f>SUM(AF31:AF31)</f>
        <v>0</v>
      </c>
    </row>
  </sheetData>
  <mergeCells count="21">
    <mergeCell ref="Q6:Q7"/>
    <mergeCell ref="O1:R1"/>
    <mergeCell ref="A2:R2"/>
    <mergeCell ref="A3:R3"/>
    <mergeCell ref="A4:R4"/>
    <mergeCell ref="A5:R5"/>
    <mergeCell ref="A6:A7"/>
    <mergeCell ref="B6:B7"/>
    <mergeCell ref="C6:C7"/>
    <mergeCell ref="D6:D7"/>
    <mergeCell ref="E6:E7"/>
    <mergeCell ref="F6:F7"/>
    <mergeCell ref="G6:G7"/>
    <mergeCell ref="H6:J6"/>
    <mergeCell ref="K6:M6"/>
    <mergeCell ref="N6:P6"/>
    <mergeCell ref="R6:R7"/>
    <mergeCell ref="T6:V6"/>
    <mergeCell ref="W6:Y6"/>
    <mergeCell ref="Z6:AB6"/>
    <mergeCell ref="AD6:AF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F60"/>
  <sheetViews>
    <sheetView view="pageBreakPreview" zoomScale="85" zoomScaleNormal="100" zoomScaleSheetLayoutView="85" workbookViewId="0">
      <selection activeCell="B14" sqref="B14"/>
    </sheetView>
  </sheetViews>
  <sheetFormatPr defaultRowHeight="15" x14ac:dyDescent="0.25"/>
  <cols>
    <col min="1" max="1" width="3.42578125" style="605" customWidth="1"/>
    <col min="2" max="2" width="19.42578125" style="602" customWidth="1"/>
    <col min="3" max="4" width="8.5703125" style="602" customWidth="1"/>
    <col min="5" max="5" width="7.42578125" style="602" customWidth="1"/>
    <col min="6" max="7" width="8.28515625" style="602" customWidth="1"/>
    <col min="8" max="8" width="6.85546875" style="602" customWidth="1"/>
    <col min="9" max="10" width="9" style="602" customWidth="1"/>
    <col min="11" max="11" width="7.5703125" style="602" customWidth="1"/>
    <col min="12" max="13" width="8.42578125" style="602" customWidth="1"/>
    <col min="14" max="14" width="7.42578125" style="602" customWidth="1"/>
    <col min="15" max="15" width="8.28515625" style="602" customWidth="1"/>
    <col min="16" max="16" width="8.140625" style="602" customWidth="1"/>
    <col min="17" max="17" width="5.85546875" style="602" customWidth="1"/>
    <col min="18" max="18" width="8.5703125" style="602" customWidth="1"/>
    <col min="19" max="19" width="8.28515625" style="602" customWidth="1"/>
    <col min="20" max="20" width="7.42578125" style="602" customWidth="1"/>
    <col min="21" max="21" width="9" style="602" customWidth="1"/>
    <col min="22" max="22" width="9" style="602"/>
    <col min="23" max="23" width="7.28515625" style="602" customWidth="1"/>
    <col min="24" max="24" width="8.42578125" style="602" customWidth="1"/>
    <col min="25" max="25" width="8.28515625" style="602" customWidth="1"/>
    <col min="26" max="26" width="5.7109375" style="602" customWidth="1"/>
    <col min="27" max="27" width="9" style="602" customWidth="1"/>
    <col min="28" max="28" width="8.7109375" style="602" customWidth="1"/>
    <col min="29" max="29" width="7.28515625" style="602" customWidth="1"/>
    <col min="30" max="30" width="5.140625" style="605" customWidth="1"/>
    <col min="31" max="32" width="9.7109375" style="602" bestFit="1" customWidth="1"/>
    <col min="33" max="33" width="8.5703125" style="602" bestFit="1" customWidth="1"/>
    <col min="34" max="255" width="9" style="602"/>
    <col min="256" max="256" width="3.42578125" style="602" customWidth="1"/>
    <col min="257" max="257" width="19.42578125" style="602" customWidth="1"/>
    <col min="258" max="258" width="8.28515625" style="602" customWidth="1"/>
    <col min="259" max="259" width="9.140625" style="602" customWidth="1"/>
    <col min="260" max="260" width="7.28515625" style="602" customWidth="1"/>
    <col min="261" max="261" width="8.42578125" style="602" customWidth="1"/>
    <col min="262" max="262" width="8.85546875" style="602" customWidth="1"/>
    <col min="263" max="263" width="7.28515625" style="602" customWidth="1"/>
    <col min="264" max="264" width="7.85546875" style="602" customWidth="1"/>
    <col min="265" max="265" width="8" style="602" customWidth="1"/>
    <col min="266" max="266" width="7.42578125" style="602" customWidth="1"/>
    <col min="267" max="267" width="8.5703125" style="602" customWidth="1"/>
    <col min="268" max="268" width="8.7109375" style="602" customWidth="1"/>
    <col min="269" max="269" width="7.28515625" style="602" customWidth="1"/>
    <col min="270" max="270" width="8" style="602" customWidth="1"/>
    <col min="271" max="271" width="8.7109375" style="602" customWidth="1"/>
    <col min="272" max="272" width="6.42578125" style="602" customWidth="1"/>
    <col min="273" max="274" width="7.7109375" style="602" customWidth="1"/>
    <col min="275" max="275" width="7.140625" style="602" customWidth="1"/>
    <col min="276" max="276" width="8.140625" style="602" customWidth="1"/>
    <col min="277" max="277" width="8.42578125" style="602" customWidth="1"/>
    <col min="278" max="278" width="7.42578125" style="602" customWidth="1"/>
    <col min="279" max="279" width="8" style="602" customWidth="1"/>
    <col min="280" max="280" width="7.7109375" style="602" customWidth="1"/>
    <col min="281" max="281" width="6.42578125" style="602" customWidth="1"/>
    <col min="282" max="283" width="8" style="602" customWidth="1"/>
    <col min="284" max="284" width="7.7109375" style="602" customWidth="1"/>
    <col min="285" max="285" width="9.42578125" style="602" bestFit="1" customWidth="1"/>
    <col min="286" max="286" width="9" style="602"/>
    <col min="287" max="288" width="9.7109375" style="602" bestFit="1" customWidth="1"/>
    <col min="289" max="289" width="8.5703125" style="602" bestFit="1" customWidth="1"/>
    <col min="290" max="511" width="9" style="602"/>
    <col min="512" max="512" width="3.42578125" style="602" customWidth="1"/>
    <col min="513" max="513" width="19.42578125" style="602" customWidth="1"/>
    <col min="514" max="514" width="8.28515625" style="602" customWidth="1"/>
    <col min="515" max="515" width="9.140625" style="602" customWidth="1"/>
    <col min="516" max="516" width="7.28515625" style="602" customWidth="1"/>
    <col min="517" max="517" width="8.42578125" style="602" customWidth="1"/>
    <col min="518" max="518" width="8.85546875" style="602" customWidth="1"/>
    <col min="519" max="519" width="7.28515625" style="602" customWidth="1"/>
    <col min="520" max="520" width="7.85546875" style="602" customWidth="1"/>
    <col min="521" max="521" width="8" style="602" customWidth="1"/>
    <col min="522" max="522" width="7.42578125" style="602" customWidth="1"/>
    <col min="523" max="523" width="8.5703125" style="602" customWidth="1"/>
    <col min="524" max="524" width="8.7109375" style="602" customWidth="1"/>
    <col min="525" max="525" width="7.28515625" style="602" customWidth="1"/>
    <col min="526" max="526" width="8" style="602" customWidth="1"/>
    <col min="527" max="527" width="8.7109375" style="602" customWidth="1"/>
    <col min="528" max="528" width="6.42578125" style="602" customWidth="1"/>
    <col min="529" max="530" width="7.7109375" style="602" customWidth="1"/>
    <col min="531" max="531" width="7.140625" style="602" customWidth="1"/>
    <col min="532" max="532" width="8.140625" style="602" customWidth="1"/>
    <col min="533" max="533" width="8.42578125" style="602" customWidth="1"/>
    <col min="534" max="534" width="7.42578125" style="602" customWidth="1"/>
    <col min="535" max="535" width="8" style="602" customWidth="1"/>
    <col min="536" max="536" width="7.7109375" style="602" customWidth="1"/>
    <col min="537" max="537" width="6.42578125" style="602" customWidth="1"/>
    <col min="538" max="539" width="8" style="602" customWidth="1"/>
    <col min="540" max="540" width="7.7109375" style="602" customWidth="1"/>
    <col min="541" max="541" width="9.42578125" style="602" bestFit="1" customWidth="1"/>
    <col min="542" max="542" width="9" style="602"/>
    <col min="543" max="544" width="9.7109375" style="602" bestFit="1" customWidth="1"/>
    <col min="545" max="545" width="8.5703125" style="602" bestFit="1" customWidth="1"/>
    <col min="546" max="767" width="9" style="602"/>
    <col min="768" max="768" width="3.42578125" style="602" customWidth="1"/>
    <col min="769" max="769" width="19.42578125" style="602" customWidth="1"/>
    <col min="770" max="770" width="8.28515625" style="602" customWidth="1"/>
    <col min="771" max="771" width="9.140625" style="602" customWidth="1"/>
    <col min="772" max="772" width="7.28515625" style="602" customWidth="1"/>
    <col min="773" max="773" width="8.42578125" style="602" customWidth="1"/>
    <col min="774" max="774" width="8.85546875" style="602" customWidth="1"/>
    <col min="775" max="775" width="7.28515625" style="602" customWidth="1"/>
    <col min="776" max="776" width="7.85546875" style="602" customWidth="1"/>
    <col min="777" max="777" width="8" style="602" customWidth="1"/>
    <col min="778" max="778" width="7.42578125" style="602" customWidth="1"/>
    <col min="779" max="779" width="8.5703125" style="602" customWidth="1"/>
    <col min="780" max="780" width="8.7109375" style="602" customWidth="1"/>
    <col min="781" max="781" width="7.28515625" style="602" customWidth="1"/>
    <col min="782" max="782" width="8" style="602" customWidth="1"/>
    <col min="783" max="783" width="8.7109375" style="602" customWidth="1"/>
    <col min="784" max="784" width="6.42578125" style="602" customWidth="1"/>
    <col min="785" max="786" width="7.7109375" style="602" customWidth="1"/>
    <col min="787" max="787" width="7.140625" style="602" customWidth="1"/>
    <col min="788" max="788" width="8.140625" style="602" customWidth="1"/>
    <col min="789" max="789" width="8.42578125" style="602" customWidth="1"/>
    <col min="790" max="790" width="7.42578125" style="602" customWidth="1"/>
    <col min="791" max="791" width="8" style="602" customWidth="1"/>
    <col min="792" max="792" width="7.7109375" style="602" customWidth="1"/>
    <col min="793" max="793" width="6.42578125" style="602" customWidth="1"/>
    <col min="794" max="795" width="8" style="602" customWidth="1"/>
    <col min="796" max="796" width="7.7109375" style="602" customWidth="1"/>
    <col min="797" max="797" width="9.42578125" style="602" bestFit="1" customWidth="1"/>
    <col min="798" max="798" width="9" style="602"/>
    <col min="799" max="800" width="9.7109375" style="602" bestFit="1" customWidth="1"/>
    <col min="801" max="801" width="8.5703125" style="602" bestFit="1" customWidth="1"/>
    <col min="802" max="1023" width="9" style="602"/>
    <col min="1024" max="1024" width="3.42578125" style="602" customWidth="1"/>
    <col min="1025" max="1025" width="19.42578125" style="602" customWidth="1"/>
    <col min="1026" max="1026" width="8.28515625" style="602" customWidth="1"/>
    <col min="1027" max="1027" width="9.140625" style="602" customWidth="1"/>
    <col min="1028" max="1028" width="7.28515625" style="602" customWidth="1"/>
    <col min="1029" max="1029" width="8.42578125" style="602" customWidth="1"/>
    <col min="1030" max="1030" width="8.85546875" style="602" customWidth="1"/>
    <col min="1031" max="1031" width="7.28515625" style="602" customWidth="1"/>
    <col min="1032" max="1032" width="7.85546875" style="602" customWidth="1"/>
    <col min="1033" max="1033" width="8" style="602" customWidth="1"/>
    <col min="1034" max="1034" width="7.42578125" style="602" customWidth="1"/>
    <col min="1035" max="1035" width="8.5703125" style="602" customWidth="1"/>
    <col min="1036" max="1036" width="8.7109375" style="602" customWidth="1"/>
    <col min="1037" max="1037" width="7.28515625" style="602" customWidth="1"/>
    <col min="1038" max="1038" width="8" style="602" customWidth="1"/>
    <col min="1039" max="1039" width="8.7109375" style="602" customWidth="1"/>
    <col min="1040" max="1040" width="6.42578125" style="602" customWidth="1"/>
    <col min="1041" max="1042" width="7.7109375" style="602" customWidth="1"/>
    <col min="1043" max="1043" width="7.140625" style="602" customWidth="1"/>
    <col min="1044" max="1044" width="8.140625" style="602" customWidth="1"/>
    <col min="1045" max="1045" width="8.42578125" style="602" customWidth="1"/>
    <col min="1046" max="1046" width="7.42578125" style="602" customWidth="1"/>
    <col min="1047" max="1047" width="8" style="602" customWidth="1"/>
    <col min="1048" max="1048" width="7.7109375" style="602" customWidth="1"/>
    <col min="1049" max="1049" width="6.42578125" style="602" customWidth="1"/>
    <col min="1050" max="1051" width="8" style="602" customWidth="1"/>
    <col min="1052" max="1052" width="7.7109375" style="602" customWidth="1"/>
    <col min="1053" max="1053" width="9.42578125" style="602" bestFit="1" customWidth="1"/>
    <col min="1054" max="1054" width="9" style="602"/>
    <col min="1055" max="1056" width="9.7109375" style="602" bestFit="1" customWidth="1"/>
    <col min="1057" max="1057" width="8.5703125" style="602" bestFit="1" customWidth="1"/>
    <col min="1058" max="1279" width="9" style="602"/>
    <col min="1280" max="1280" width="3.42578125" style="602" customWidth="1"/>
    <col min="1281" max="1281" width="19.42578125" style="602" customWidth="1"/>
    <col min="1282" max="1282" width="8.28515625" style="602" customWidth="1"/>
    <col min="1283" max="1283" width="9.140625" style="602" customWidth="1"/>
    <col min="1284" max="1284" width="7.28515625" style="602" customWidth="1"/>
    <col min="1285" max="1285" width="8.42578125" style="602" customWidth="1"/>
    <col min="1286" max="1286" width="8.85546875" style="602" customWidth="1"/>
    <col min="1287" max="1287" width="7.28515625" style="602" customWidth="1"/>
    <col min="1288" max="1288" width="7.85546875" style="602" customWidth="1"/>
    <col min="1289" max="1289" width="8" style="602" customWidth="1"/>
    <col min="1290" max="1290" width="7.42578125" style="602" customWidth="1"/>
    <col min="1291" max="1291" width="8.5703125" style="602" customWidth="1"/>
    <col min="1292" max="1292" width="8.7109375" style="602" customWidth="1"/>
    <col min="1293" max="1293" width="7.28515625" style="602" customWidth="1"/>
    <col min="1294" max="1294" width="8" style="602" customWidth="1"/>
    <col min="1295" max="1295" width="8.7109375" style="602" customWidth="1"/>
    <col min="1296" max="1296" width="6.42578125" style="602" customWidth="1"/>
    <col min="1297" max="1298" width="7.7109375" style="602" customWidth="1"/>
    <col min="1299" max="1299" width="7.140625" style="602" customWidth="1"/>
    <col min="1300" max="1300" width="8.140625" style="602" customWidth="1"/>
    <col min="1301" max="1301" width="8.42578125" style="602" customWidth="1"/>
    <col min="1302" max="1302" width="7.42578125" style="602" customWidth="1"/>
    <col min="1303" max="1303" width="8" style="602" customWidth="1"/>
    <col min="1304" max="1304" width="7.7109375" style="602" customWidth="1"/>
    <col min="1305" max="1305" width="6.42578125" style="602" customWidth="1"/>
    <col min="1306" max="1307" width="8" style="602" customWidth="1"/>
    <col min="1308" max="1308" width="7.7109375" style="602" customWidth="1"/>
    <col min="1309" max="1309" width="9.42578125" style="602" bestFit="1" customWidth="1"/>
    <col min="1310" max="1310" width="9" style="602"/>
    <col min="1311" max="1312" width="9.7109375" style="602" bestFit="1" customWidth="1"/>
    <col min="1313" max="1313" width="8.5703125" style="602" bestFit="1" customWidth="1"/>
    <col min="1314" max="1535" width="9" style="602"/>
    <col min="1536" max="1536" width="3.42578125" style="602" customWidth="1"/>
    <col min="1537" max="1537" width="19.42578125" style="602" customWidth="1"/>
    <col min="1538" max="1538" width="8.28515625" style="602" customWidth="1"/>
    <col min="1539" max="1539" width="9.140625" style="602" customWidth="1"/>
    <col min="1540" max="1540" width="7.28515625" style="602" customWidth="1"/>
    <col min="1541" max="1541" width="8.42578125" style="602" customWidth="1"/>
    <col min="1542" max="1542" width="8.85546875" style="602" customWidth="1"/>
    <col min="1543" max="1543" width="7.28515625" style="602" customWidth="1"/>
    <col min="1544" max="1544" width="7.85546875" style="602" customWidth="1"/>
    <col min="1545" max="1545" width="8" style="602" customWidth="1"/>
    <col min="1546" max="1546" width="7.42578125" style="602" customWidth="1"/>
    <col min="1547" max="1547" width="8.5703125" style="602" customWidth="1"/>
    <col min="1548" max="1548" width="8.7109375" style="602" customWidth="1"/>
    <col min="1549" max="1549" width="7.28515625" style="602" customWidth="1"/>
    <col min="1550" max="1550" width="8" style="602" customWidth="1"/>
    <col min="1551" max="1551" width="8.7109375" style="602" customWidth="1"/>
    <col min="1552" max="1552" width="6.42578125" style="602" customWidth="1"/>
    <col min="1553" max="1554" width="7.7109375" style="602" customWidth="1"/>
    <col min="1555" max="1555" width="7.140625" style="602" customWidth="1"/>
    <col min="1556" max="1556" width="8.140625" style="602" customWidth="1"/>
    <col min="1557" max="1557" width="8.42578125" style="602" customWidth="1"/>
    <col min="1558" max="1558" width="7.42578125" style="602" customWidth="1"/>
    <col min="1559" max="1559" width="8" style="602" customWidth="1"/>
    <col min="1560" max="1560" width="7.7109375" style="602" customWidth="1"/>
    <col min="1561" max="1561" width="6.42578125" style="602" customWidth="1"/>
    <col min="1562" max="1563" width="8" style="602" customWidth="1"/>
    <col min="1564" max="1564" width="7.7109375" style="602" customWidth="1"/>
    <col min="1565" max="1565" width="9.42578125" style="602" bestFit="1" customWidth="1"/>
    <col min="1566" max="1566" width="9" style="602"/>
    <col min="1567" max="1568" width="9.7109375" style="602" bestFit="1" customWidth="1"/>
    <col min="1569" max="1569" width="8.5703125" style="602" bestFit="1" customWidth="1"/>
    <col min="1570" max="1791" width="9" style="602"/>
    <col min="1792" max="1792" width="3.42578125" style="602" customWidth="1"/>
    <col min="1793" max="1793" width="19.42578125" style="602" customWidth="1"/>
    <col min="1794" max="1794" width="8.28515625" style="602" customWidth="1"/>
    <col min="1795" max="1795" width="9.140625" style="602" customWidth="1"/>
    <col min="1796" max="1796" width="7.28515625" style="602" customWidth="1"/>
    <col min="1797" max="1797" width="8.42578125" style="602" customWidth="1"/>
    <col min="1798" max="1798" width="8.85546875" style="602" customWidth="1"/>
    <col min="1799" max="1799" width="7.28515625" style="602" customWidth="1"/>
    <col min="1800" max="1800" width="7.85546875" style="602" customWidth="1"/>
    <col min="1801" max="1801" width="8" style="602" customWidth="1"/>
    <col min="1802" max="1802" width="7.42578125" style="602" customWidth="1"/>
    <col min="1803" max="1803" width="8.5703125" style="602" customWidth="1"/>
    <col min="1804" max="1804" width="8.7109375" style="602" customWidth="1"/>
    <col min="1805" max="1805" width="7.28515625" style="602" customWidth="1"/>
    <col min="1806" max="1806" width="8" style="602" customWidth="1"/>
    <col min="1807" max="1807" width="8.7109375" style="602" customWidth="1"/>
    <col min="1808" max="1808" width="6.42578125" style="602" customWidth="1"/>
    <col min="1809" max="1810" width="7.7109375" style="602" customWidth="1"/>
    <col min="1811" max="1811" width="7.140625" style="602" customWidth="1"/>
    <col min="1812" max="1812" width="8.140625" style="602" customWidth="1"/>
    <col min="1813" max="1813" width="8.42578125" style="602" customWidth="1"/>
    <col min="1814" max="1814" width="7.42578125" style="602" customWidth="1"/>
    <col min="1815" max="1815" width="8" style="602" customWidth="1"/>
    <col min="1816" max="1816" width="7.7109375" style="602" customWidth="1"/>
    <col min="1817" max="1817" width="6.42578125" style="602" customWidth="1"/>
    <col min="1818" max="1819" width="8" style="602" customWidth="1"/>
    <col min="1820" max="1820" width="7.7109375" style="602" customWidth="1"/>
    <col min="1821" max="1821" width="9.42578125" style="602" bestFit="1" customWidth="1"/>
    <col min="1822" max="1822" width="9" style="602"/>
    <col min="1823" max="1824" width="9.7109375" style="602" bestFit="1" customWidth="1"/>
    <col min="1825" max="1825" width="8.5703125" style="602" bestFit="1" customWidth="1"/>
    <col min="1826" max="2047" width="9" style="602"/>
    <col min="2048" max="2048" width="3.42578125" style="602" customWidth="1"/>
    <col min="2049" max="2049" width="19.42578125" style="602" customWidth="1"/>
    <col min="2050" max="2050" width="8.28515625" style="602" customWidth="1"/>
    <col min="2051" max="2051" width="9.140625" style="602" customWidth="1"/>
    <col min="2052" max="2052" width="7.28515625" style="602" customWidth="1"/>
    <col min="2053" max="2053" width="8.42578125" style="602" customWidth="1"/>
    <col min="2054" max="2054" width="8.85546875" style="602" customWidth="1"/>
    <col min="2055" max="2055" width="7.28515625" style="602" customWidth="1"/>
    <col min="2056" max="2056" width="7.85546875" style="602" customWidth="1"/>
    <col min="2057" max="2057" width="8" style="602" customWidth="1"/>
    <col min="2058" max="2058" width="7.42578125" style="602" customWidth="1"/>
    <col min="2059" max="2059" width="8.5703125" style="602" customWidth="1"/>
    <col min="2060" max="2060" width="8.7109375" style="602" customWidth="1"/>
    <col min="2061" max="2061" width="7.28515625" style="602" customWidth="1"/>
    <col min="2062" max="2062" width="8" style="602" customWidth="1"/>
    <col min="2063" max="2063" width="8.7109375" style="602" customWidth="1"/>
    <col min="2064" max="2064" width="6.42578125" style="602" customWidth="1"/>
    <col min="2065" max="2066" width="7.7109375" style="602" customWidth="1"/>
    <col min="2067" max="2067" width="7.140625" style="602" customWidth="1"/>
    <col min="2068" max="2068" width="8.140625" style="602" customWidth="1"/>
    <col min="2069" max="2069" width="8.42578125" style="602" customWidth="1"/>
    <col min="2070" max="2070" width="7.42578125" style="602" customWidth="1"/>
    <col min="2071" max="2071" width="8" style="602" customWidth="1"/>
    <col min="2072" max="2072" width="7.7109375" style="602" customWidth="1"/>
    <col min="2073" max="2073" width="6.42578125" style="602" customWidth="1"/>
    <col min="2074" max="2075" width="8" style="602" customWidth="1"/>
    <col min="2076" max="2076" width="7.7109375" style="602" customWidth="1"/>
    <col min="2077" max="2077" width="9.42578125" style="602" bestFit="1" customWidth="1"/>
    <col min="2078" max="2078" width="9" style="602"/>
    <col min="2079" max="2080" width="9.7109375" style="602" bestFit="1" customWidth="1"/>
    <col min="2081" max="2081" width="8.5703125" style="602" bestFit="1" customWidth="1"/>
    <col min="2082" max="2303" width="9" style="602"/>
    <col min="2304" max="2304" width="3.42578125" style="602" customWidth="1"/>
    <col min="2305" max="2305" width="19.42578125" style="602" customWidth="1"/>
    <col min="2306" max="2306" width="8.28515625" style="602" customWidth="1"/>
    <col min="2307" max="2307" width="9.140625" style="602" customWidth="1"/>
    <col min="2308" max="2308" width="7.28515625" style="602" customWidth="1"/>
    <col min="2309" max="2309" width="8.42578125" style="602" customWidth="1"/>
    <col min="2310" max="2310" width="8.85546875" style="602" customWidth="1"/>
    <col min="2311" max="2311" width="7.28515625" style="602" customWidth="1"/>
    <col min="2312" max="2312" width="7.85546875" style="602" customWidth="1"/>
    <col min="2313" max="2313" width="8" style="602" customWidth="1"/>
    <col min="2314" max="2314" width="7.42578125" style="602" customWidth="1"/>
    <col min="2315" max="2315" width="8.5703125" style="602" customWidth="1"/>
    <col min="2316" max="2316" width="8.7109375" style="602" customWidth="1"/>
    <col min="2317" max="2317" width="7.28515625" style="602" customWidth="1"/>
    <col min="2318" max="2318" width="8" style="602" customWidth="1"/>
    <col min="2319" max="2319" width="8.7109375" style="602" customWidth="1"/>
    <col min="2320" max="2320" width="6.42578125" style="602" customWidth="1"/>
    <col min="2321" max="2322" width="7.7109375" style="602" customWidth="1"/>
    <col min="2323" max="2323" width="7.140625" style="602" customWidth="1"/>
    <col min="2324" max="2324" width="8.140625" style="602" customWidth="1"/>
    <col min="2325" max="2325" width="8.42578125" style="602" customWidth="1"/>
    <col min="2326" max="2326" width="7.42578125" style="602" customWidth="1"/>
    <col min="2327" max="2327" width="8" style="602" customWidth="1"/>
    <col min="2328" max="2328" width="7.7109375" style="602" customWidth="1"/>
    <col min="2329" max="2329" width="6.42578125" style="602" customWidth="1"/>
    <col min="2330" max="2331" width="8" style="602" customWidth="1"/>
    <col min="2332" max="2332" width="7.7109375" style="602" customWidth="1"/>
    <col min="2333" max="2333" width="9.42578125" style="602" bestFit="1" customWidth="1"/>
    <col min="2334" max="2334" width="9" style="602"/>
    <col min="2335" max="2336" width="9.7109375" style="602" bestFit="1" customWidth="1"/>
    <col min="2337" max="2337" width="8.5703125" style="602" bestFit="1" customWidth="1"/>
    <col min="2338" max="2559" width="9" style="602"/>
    <col min="2560" max="2560" width="3.42578125" style="602" customWidth="1"/>
    <col min="2561" max="2561" width="19.42578125" style="602" customWidth="1"/>
    <col min="2562" max="2562" width="8.28515625" style="602" customWidth="1"/>
    <col min="2563" max="2563" width="9.140625" style="602" customWidth="1"/>
    <col min="2564" max="2564" width="7.28515625" style="602" customWidth="1"/>
    <col min="2565" max="2565" width="8.42578125" style="602" customWidth="1"/>
    <col min="2566" max="2566" width="8.85546875" style="602" customWidth="1"/>
    <col min="2567" max="2567" width="7.28515625" style="602" customWidth="1"/>
    <col min="2568" max="2568" width="7.85546875" style="602" customWidth="1"/>
    <col min="2569" max="2569" width="8" style="602" customWidth="1"/>
    <col min="2570" max="2570" width="7.42578125" style="602" customWidth="1"/>
    <col min="2571" max="2571" width="8.5703125" style="602" customWidth="1"/>
    <col min="2572" max="2572" width="8.7109375" style="602" customWidth="1"/>
    <col min="2573" max="2573" width="7.28515625" style="602" customWidth="1"/>
    <col min="2574" max="2574" width="8" style="602" customWidth="1"/>
    <col min="2575" max="2575" width="8.7109375" style="602" customWidth="1"/>
    <col min="2576" max="2576" width="6.42578125" style="602" customWidth="1"/>
    <col min="2577" max="2578" width="7.7109375" style="602" customWidth="1"/>
    <col min="2579" max="2579" width="7.140625" style="602" customWidth="1"/>
    <col min="2580" max="2580" width="8.140625" style="602" customWidth="1"/>
    <col min="2581" max="2581" width="8.42578125" style="602" customWidth="1"/>
    <col min="2582" max="2582" width="7.42578125" style="602" customWidth="1"/>
    <col min="2583" max="2583" width="8" style="602" customWidth="1"/>
    <col min="2584" max="2584" width="7.7109375" style="602" customWidth="1"/>
    <col min="2585" max="2585" width="6.42578125" style="602" customWidth="1"/>
    <col min="2586" max="2587" width="8" style="602" customWidth="1"/>
    <col min="2588" max="2588" width="7.7109375" style="602" customWidth="1"/>
    <col min="2589" max="2589" width="9.42578125" style="602" bestFit="1" customWidth="1"/>
    <col min="2590" max="2590" width="9" style="602"/>
    <col min="2591" max="2592" width="9.7109375" style="602" bestFit="1" customWidth="1"/>
    <col min="2593" max="2593" width="8.5703125" style="602" bestFit="1" customWidth="1"/>
    <col min="2594" max="2815" width="9" style="602"/>
    <col min="2816" max="2816" width="3.42578125" style="602" customWidth="1"/>
    <col min="2817" max="2817" width="19.42578125" style="602" customWidth="1"/>
    <col min="2818" max="2818" width="8.28515625" style="602" customWidth="1"/>
    <col min="2819" max="2819" width="9.140625" style="602" customWidth="1"/>
    <col min="2820" max="2820" width="7.28515625" style="602" customWidth="1"/>
    <col min="2821" max="2821" width="8.42578125" style="602" customWidth="1"/>
    <col min="2822" max="2822" width="8.85546875" style="602" customWidth="1"/>
    <col min="2823" max="2823" width="7.28515625" style="602" customWidth="1"/>
    <col min="2824" max="2824" width="7.85546875" style="602" customWidth="1"/>
    <col min="2825" max="2825" width="8" style="602" customWidth="1"/>
    <col min="2826" max="2826" width="7.42578125" style="602" customWidth="1"/>
    <col min="2827" max="2827" width="8.5703125" style="602" customWidth="1"/>
    <col min="2828" max="2828" width="8.7109375" style="602" customWidth="1"/>
    <col min="2829" max="2829" width="7.28515625" style="602" customWidth="1"/>
    <col min="2830" max="2830" width="8" style="602" customWidth="1"/>
    <col min="2831" max="2831" width="8.7109375" style="602" customWidth="1"/>
    <col min="2832" max="2832" width="6.42578125" style="602" customWidth="1"/>
    <col min="2833" max="2834" width="7.7109375" style="602" customWidth="1"/>
    <col min="2835" max="2835" width="7.140625" style="602" customWidth="1"/>
    <col min="2836" max="2836" width="8.140625" style="602" customWidth="1"/>
    <col min="2837" max="2837" width="8.42578125" style="602" customWidth="1"/>
    <col min="2838" max="2838" width="7.42578125" style="602" customWidth="1"/>
    <col min="2839" max="2839" width="8" style="602" customWidth="1"/>
    <col min="2840" max="2840" width="7.7109375" style="602" customWidth="1"/>
    <col min="2841" max="2841" width="6.42578125" style="602" customWidth="1"/>
    <col min="2842" max="2843" width="8" style="602" customWidth="1"/>
    <col min="2844" max="2844" width="7.7109375" style="602" customWidth="1"/>
    <col min="2845" max="2845" width="9.42578125" style="602" bestFit="1" customWidth="1"/>
    <col min="2846" max="2846" width="9" style="602"/>
    <col min="2847" max="2848" width="9.7109375" style="602" bestFit="1" customWidth="1"/>
    <col min="2849" max="2849" width="8.5703125" style="602" bestFit="1" customWidth="1"/>
    <col min="2850" max="3071" width="9" style="602"/>
    <col min="3072" max="3072" width="3.42578125" style="602" customWidth="1"/>
    <col min="3073" max="3073" width="19.42578125" style="602" customWidth="1"/>
    <col min="3074" max="3074" width="8.28515625" style="602" customWidth="1"/>
    <col min="3075" max="3075" width="9.140625" style="602" customWidth="1"/>
    <col min="3076" max="3076" width="7.28515625" style="602" customWidth="1"/>
    <col min="3077" max="3077" width="8.42578125" style="602" customWidth="1"/>
    <col min="3078" max="3078" width="8.85546875" style="602" customWidth="1"/>
    <col min="3079" max="3079" width="7.28515625" style="602" customWidth="1"/>
    <col min="3080" max="3080" width="7.85546875" style="602" customWidth="1"/>
    <col min="3081" max="3081" width="8" style="602" customWidth="1"/>
    <col min="3082" max="3082" width="7.42578125" style="602" customWidth="1"/>
    <col min="3083" max="3083" width="8.5703125" style="602" customWidth="1"/>
    <col min="3084" max="3084" width="8.7109375" style="602" customWidth="1"/>
    <col min="3085" max="3085" width="7.28515625" style="602" customWidth="1"/>
    <col min="3086" max="3086" width="8" style="602" customWidth="1"/>
    <col min="3087" max="3087" width="8.7109375" style="602" customWidth="1"/>
    <col min="3088" max="3088" width="6.42578125" style="602" customWidth="1"/>
    <col min="3089" max="3090" width="7.7109375" style="602" customWidth="1"/>
    <col min="3091" max="3091" width="7.140625" style="602" customWidth="1"/>
    <col min="3092" max="3092" width="8.140625" style="602" customWidth="1"/>
    <col min="3093" max="3093" width="8.42578125" style="602" customWidth="1"/>
    <col min="3094" max="3094" width="7.42578125" style="602" customWidth="1"/>
    <col min="3095" max="3095" width="8" style="602" customWidth="1"/>
    <col min="3096" max="3096" width="7.7109375" style="602" customWidth="1"/>
    <col min="3097" max="3097" width="6.42578125" style="602" customWidth="1"/>
    <col min="3098" max="3099" width="8" style="602" customWidth="1"/>
    <col min="3100" max="3100" width="7.7109375" style="602" customWidth="1"/>
    <col min="3101" max="3101" width="9.42578125" style="602" bestFit="1" customWidth="1"/>
    <col min="3102" max="3102" width="9" style="602"/>
    <col min="3103" max="3104" width="9.7109375" style="602" bestFit="1" customWidth="1"/>
    <col min="3105" max="3105" width="8.5703125" style="602" bestFit="1" customWidth="1"/>
    <col min="3106" max="3327" width="9" style="602"/>
    <col min="3328" max="3328" width="3.42578125" style="602" customWidth="1"/>
    <col min="3329" max="3329" width="19.42578125" style="602" customWidth="1"/>
    <col min="3330" max="3330" width="8.28515625" style="602" customWidth="1"/>
    <col min="3331" max="3331" width="9.140625" style="602" customWidth="1"/>
    <col min="3332" max="3332" width="7.28515625" style="602" customWidth="1"/>
    <col min="3333" max="3333" width="8.42578125" style="602" customWidth="1"/>
    <col min="3334" max="3334" width="8.85546875" style="602" customWidth="1"/>
    <col min="3335" max="3335" width="7.28515625" style="602" customWidth="1"/>
    <col min="3336" max="3336" width="7.85546875" style="602" customWidth="1"/>
    <col min="3337" max="3337" width="8" style="602" customWidth="1"/>
    <col min="3338" max="3338" width="7.42578125" style="602" customWidth="1"/>
    <col min="3339" max="3339" width="8.5703125" style="602" customWidth="1"/>
    <col min="3340" max="3340" width="8.7109375" style="602" customWidth="1"/>
    <col min="3341" max="3341" width="7.28515625" style="602" customWidth="1"/>
    <col min="3342" max="3342" width="8" style="602" customWidth="1"/>
    <col min="3343" max="3343" width="8.7109375" style="602" customWidth="1"/>
    <col min="3344" max="3344" width="6.42578125" style="602" customWidth="1"/>
    <col min="3345" max="3346" width="7.7109375" style="602" customWidth="1"/>
    <col min="3347" max="3347" width="7.140625" style="602" customWidth="1"/>
    <col min="3348" max="3348" width="8.140625" style="602" customWidth="1"/>
    <col min="3349" max="3349" width="8.42578125" style="602" customWidth="1"/>
    <col min="3350" max="3350" width="7.42578125" style="602" customWidth="1"/>
    <col min="3351" max="3351" width="8" style="602" customWidth="1"/>
    <col min="3352" max="3352" width="7.7109375" style="602" customWidth="1"/>
    <col min="3353" max="3353" width="6.42578125" style="602" customWidth="1"/>
    <col min="3354" max="3355" width="8" style="602" customWidth="1"/>
    <col min="3356" max="3356" width="7.7109375" style="602" customWidth="1"/>
    <col min="3357" max="3357" width="9.42578125" style="602" bestFit="1" customWidth="1"/>
    <col min="3358" max="3358" width="9" style="602"/>
    <col min="3359" max="3360" width="9.7109375" style="602" bestFit="1" customWidth="1"/>
    <col min="3361" max="3361" width="8.5703125" style="602" bestFit="1" customWidth="1"/>
    <col min="3362" max="3583" width="9" style="602"/>
    <col min="3584" max="3584" width="3.42578125" style="602" customWidth="1"/>
    <col min="3585" max="3585" width="19.42578125" style="602" customWidth="1"/>
    <col min="3586" max="3586" width="8.28515625" style="602" customWidth="1"/>
    <col min="3587" max="3587" width="9.140625" style="602" customWidth="1"/>
    <col min="3588" max="3588" width="7.28515625" style="602" customWidth="1"/>
    <col min="3589" max="3589" width="8.42578125" style="602" customWidth="1"/>
    <col min="3590" max="3590" width="8.85546875" style="602" customWidth="1"/>
    <col min="3591" max="3591" width="7.28515625" style="602" customWidth="1"/>
    <col min="3592" max="3592" width="7.85546875" style="602" customWidth="1"/>
    <col min="3593" max="3593" width="8" style="602" customWidth="1"/>
    <col min="3594" max="3594" width="7.42578125" style="602" customWidth="1"/>
    <col min="3595" max="3595" width="8.5703125" style="602" customWidth="1"/>
    <col min="3596" max="3596" width="8.7109375" style="602" customWidth="1"/>
    <col min="3597" max="3597" width="7.28515625" style="602" customWidth="1"/>
    <col min="3598" max="3598" width="8" style="602" customWidth="1"/>
    <col min="3599" max="3599" width="8.7109375" style="602" customWidth="1"/>
    <col min="3600" max="3600" width="6.42578125" style="602" customWidth="1"/>
    <col min="3601" max="3602" width="7.7109375" style="602" customWidth="1"/>
    <col min="3603" max="3603" width="7.140625" style="602" customWidth="1"/>
    <col min="3604" max="3604" width="8.140625" style="602" customWidth="1"/>
    <col min="3605" max="3605" width="8.42578125" style="602" customWidth="1"/>
    <col min="3606" max="3606" width="7.42578125" style="602" customWidth="1"/>
    <col min="3607" max="3607" width="8" style="602" customWidth="1"/>
    <col min="3608" max="3608" width="7.7109375" style="602" customWidth="1"/>
    <col min="3609" max="3609" width="6.42578125" style="602" customWidth="1"/>
    <col min="3610" max="3611" width="8" style="602" customWidth="1"/>
    <col min="3612" max="3612" width="7.7109375" style="602" customWidth="1"/>
    <col min="3613" max="3613" width="9.42578125" style="602" bestFit="1" customWidth="1"/>
    <col min="3614" max="3614" width="9" style="602"/>
    <col min="3615" max="3616" width="9.7109375" style="602" bestFit="1" customWidth="1"/>
    <col min="3617" max="3617" width="8.5703125" style="602" bestFit="1" customWidth="1"/>
    <col min="3618" max="3839" width="9" style="602"/>
    <col min="3840" max="3840" width="3.42578125" style="602" customWidth="1"/>
    <col min="3841" max="3841" width="19.42578125" style="602" customWidth="1"/>
    <col min="3842" max="3842" width="8.28515625" style="602" customWidth="1"/>
    <col min="3843" max="3843" width="9.140625" style="602" customWidth="1"/>
    <col min="3844" max="3844" width="7.28515625" style="602" customWidth="1"/>
    <col min="3845" max="3845" width="8.42578125" style="602" customWidth="1"/>
    <col min="3846" max="3846" width="8.85546875" style="602" customWidth="1"/>
    <col min="3847" max="3847" width="7.28515625" style="602" customWidth="1"/>
    <col min="3848" max="3848" width="7.85546875" style="602" customWidth="1"/>
    <col min="3849" max="3849" width="8" style="602" customWidth="1"/>
    <col min="3850" max="3850" width="7.42578125" style="602" customWidth="1"/>
    <col min="3851" max="3851" width="8.5703125" style="602" customWidth="1"/>
    <col min="3852" max="3852" width="8.7109375" style="602" customWidth="1"/>
    <col min="3853" max="3853" width="7.28515625" style="602" customWidth="1"/>
    <col min="3854" max="3854" width="8" style="602" customWidth="1"/>
    <col min="3855" max="3855" width="8.7109375" style="602" customWidth="1"/>
    <col min="3856" max="3856" width="6.42578125" style="602" customWidth="1"/>
    <col min="3857" max="3858" width="7.7109375" style="602" customWidth="1"/>
    <col min="3859" max="3859" width="7.140625" style="602" customWidth="1"/>
    <col min="3860" max="3860" width="8.140625" style="602" customWidth="1"/>
    <col min="3861" max="3861" width="8.42578125" style="602" customWidth="1"/>
    <col min="3862" max="3862" width="7.42578125" style="602" customWidth="1"/>
    <col min="3863" max="3863" width="8" style="602" customWidth="1"/>
    <col min="3864" max="3864" width="7.7109375" style="602" customWidth="1"/>
    <col min="3865" max="3865" width="6.42578125" style="602" customWidth="1"/>
    <col min="3866" max="3867" width="8" style="602" customWidth="1"/>
    <col min="3868" max="3868" width="7.7109375" style="602" customWidth="1"/>
    <col min="3869" max="3869" width="9.42578125" style="602" bestFit="1" customWidth="1"/>
    <col min="3870" max="3870" width="9" style="602"/>
    <col min="3871" max="3872" width="9.7109375" style="602" bestFit="1" customWidth="1"/>
    <col min="3873" max="3873" width="8.5703125" style="602" bestFit="1" customWidth="1"/>
    <col min="3874" max="4095" width="9" style="602"/>
    <col min="4096" max="4096" width="3.42578125" style="602" customWidth="1"/>
    <col min="4097" max="4097" width="19.42578125" style="602" customWidth="1"/>
    <col min="4098" max="4098" width="8.28515625" style="602" customWidth="1"/>
    <col min="4099" max="4099" width="9.140625" style="602" customWidth="1"/>
    <col min="4100" max="4100" width="7.28515625" style="602" customWidth="1"/>
    <col min="4101" max="4101" width="8.42578125" style="602" customWidth="1"/>
    <col min="4102" max="4102" width="8.85546875" style="602" customWidth="1"/>
    <col min="4103" max="4103" width="7.28515625" style="602" customWidth="1"/>
    <col min="4104" max="4104" width="7.85546875" style="602" customWidth="1"/>
    <col min="4105" max="4105" width="8" style="602" customWidth="1"/>
    <col min="4106" max="4106" width="7.42578125" style="602" customWidth="1"/>
    <col min="4107" max="4107" width="8.5703125" style="602" customWidth="1"/>
    <col min="4108" max="4108" width="8.7109375" style="602" customWidth="1"/>
    <col min="4109" max="4109" width="7.28515625" style="602" customWidth="1"/>
    <col min="4110" max="4110" width="8" style="602" customWidth="1"/>
    <col min="4111" max="4111" width="8.7109375" style="602" customWidth="1"/>
    <col min="4112" max="4112" width="6.42578125" style="602" customWidth="1"/>
    <col min="4113" max="4114" width="7.7109375" style="602" customWidth="1"/>
    <col min="4115" max="4115" width="7.140625" style="602" customWidth="1"/>
    <col min="4116" max="4116" width="8.140625" style="602" customWidth="1"/>
    <col min="4117" max="4117" width="8.42578125" style="602" customWidth="1"/>
    <col min="4118" max="4118" width="7.42578125" style="602" customWidth="1"/>
    <col min="4119" max="4119" width="8" style="602" customWidth="1"/>
    <col min="4120" max="4120" width="7.7109375" style="602" customWidth="1"/>
    <col min="4121" max="4121" width="6.42578125" style="602" customWidth="1"/>
    <col min="4122" max="4123" width="8" style="602" customWidth="1"/>
    <col min="4124" max="4124" width="7.7109375" style="602" customWidth="1"/>
    <col min="4125" max="4125" width="9.42578125" style="602" bestFit="1" customWidth="1"/>
    <col min="4126" max="4126" width="9" style="602"/>
    <col min="4127" max="4128" width="9.7109375" style="602" bestFit="1" customWidth="1"/>
    <col min="4129" max="4129" width="8.5703125" style="602" bestFit="1" customWidth="1"/>
    <col min="4130" max="4351" width="9" style="602"/>
    <col min="4352" max="4352" width="3.42578125" style="602" customWidth="1"/>
    <col min="4353" max="4353" width="19.42578125" style="602" customWidth="1"/>
    <col min="4354" max="4354" width="8.28515625" style="602" customWidth="1"/>
    <col min="4355" max="4355" width="9.140625" style="602" customWidth="1"/>
    <col min="4356" max="4356" width="7.28515625" style="602" customWidth="1"/>
    <col min="4357" max="4357" width="8.42578125" style="602" customWidth="1"/>
    <col min="4358" max="4358" width="8.85546875" style="602" customWidth="1"/>
    <col min="4359" max="4359" width="7.28515625" style="602" customWidth="1"/>
    <col min="4360" max="4360" width="7.85546875" style="602" customWidth="1"/>
    <col min="4361" max="4361" width="8" style="602" customWidth="1"/>
    <col min="4362" max="4362" width="7.42578125" style="602" customWidth="1"/>
    <col min="4363" max="4363" width="8.5703125" style="602" customWidth="1"/>
    <col min="4364" max="4364" width="8.7109375" style="602" customWidth="1"/>
    <col min="4365" max="4365" width="7.28515625" style="602" customWidth="1"/>
    <col min="4366" max="4366" width="8" style="602" customWidth="1"/>
    <col min="4367" max="4367" width="8.7109375" style="602" customWidth="1"/>
    <col min="4368" max="4368" width="6.42578125" style="602" customWidth="1"/>
    <col min="4369" max="4370" width="7.7109375" style="602" customWidth="1"/>
    <col min="4371" max="4371" width="7.140625" style="602" customWidth="1"/>
    <col min="4372" max="4372" width="8.140625" style="602" customWidth="1"/>
    <col min="4373" max="4373" width="8.42578125" style="602" customWidth="1"/>
    <col min="4374" max="4374" width="7.42578125" style="602" customWidth="1"/>
    <col min="4375" max="4375" width="8" style="602" customWidth="1"/>
    <col min="4376" max="4376" width="7.7109375" style="602" customWidth="1"/>
    <col min="4377" max="4377" width="6.42578125" style="602" customWidth="1"/>
    <col min="4378" max="4379" width="8" style="602" customWidth="1"/>
    <col min="4380" max="4380" width="7.7109375" style="602" customWidth="1"/>
    <col min="4381" max="4381" width="9.42578125" style="602" bestFit="1" customWidth="1"/>
    <col min="4382" max="4382" width="9" style="602"/>
    <col min="4383" max="4384" width="9.7109375" style="602" bestFit="1" customWidth="1"/>
    <col min="4385" max="4385" width="8.5703125" style="602" bestFit="1" customWidth="1"/>
    <col min="4386" max="4607" width="9" style="602"/>
    <col min="4608" max="4608" width="3.42578125" style="602" customWidth="1"/>
    <col min="4609" max="4609" width="19.42578125" style="602" customWidth="1"/>
    <col min="4610" max="4610" width="8.28515625" style="602" customWidth="1"/>
    <col min="4611" max="4611" width="9.140625" style="602" customWidth="1"/>
    <col min="4612" max="4612" width="7.28515625" style="602" customWidth="1"/>
    <col min="4613" max="4613" width="8.42578125" style="602" customWidth="1"/>
    <col min="4614" max="4614" width="8.85546875" style="602" customWidth="1"/>
    <col min="4615" max="4615" width="7.28515625" style="602" customWidth="1"/>
    <col min="4616" max="4616" width="7.85546875" style="602" customWidth="1"/>
    <col min="4617" max="4617" width="8" style="602" customWidth="1"/>
    <col min="4618" max="4618" width="7.42578125" style="602" customWidth="1"/>
    <col min="4619" max="4619" width="8.5703125" style="602" customWidth="1"/>
    <col min="4620" max="4620" width="8.7109375" style="602" customWidth="1"/>
    <col min="4621" max="4621" width="7.28515625" style="602" customWidth="1"/>
    <col min="4622" max="4622" width="8" style="602" customWidth="1"/>
    <col min="4623" max="4623" width="8.7109375" style="602" customWidth="1"/>
    <col min="4624" max="4624" width="6.42578125" style="602" customWidth="1"/>
    <col min="4625" max="4626" width="7.7109375" style="602" customWidth="1"/>
    <col min="4627" max="4627" width="7.140625" style="602" customWidth="1"/>
    <col min="4628" max="4628" width="8.140625" style="602" customWidth="1"/>
    <col min="4629" max="4629" width="8.42578125" style="602" customWidth="1"/>
    <col min="4630" max="4630" width="7.42578125" style="602" customWidth="1"/>
    <col min="4631" max="4631" width="8" style="602" customWidth="1"/>
    <col min="4632" max="4632" width="7.7109375" style="602" customWidth="1"/>
    <col min="4633" max="4633" width="6.42578125" style="602" customWidth="1"/>
    <col min="4634" max="4635" width="8" style="602" customWidth="1"/>
    <col min="4636" max="4636" width="7.7109375" style="602" customWidth="1"/>
    <col min="4637" max="4637" width="9.42578125" style="602" bestFit="1" customWidth="1"/>
    <col min="4638" max="4638" width="9" style="602"/>
    <col min="4639" max="4640" width="9.7109375" style="602" bestFit="1" customWidth="1"/>
    <col min="4641" max="4641" width="8.5703125" style="602" bestFit="1" customWidth="1"/>
    <col min="4642" max="4863" width="9" style="602"/>
    <col min="4864" max="4864" width="3.42578125" style="602" customWidth="1"/>
    <col min="4865" max="4865" width="19.42578125" style="602" customWidth="1"/>
    <col min="4866" max="4866" width="8.28515625" style="602" customWidth="1"/>
    <col min="4867" max="4867" width="9.140625" style="602" customWidth="1"/>
    <col min="4868" max="4868" width="7.28515625" style="602" customWidth="1"/>
    <col min="4869" max="4869" width="8.42578125" style="602" customWidth="1"/>
    <col min="4870" max="4870" width="8.85546875" style="602" customWidth="1"/>
    <col min="4871" max="4871" width="7.28515625" style="602" customWidth="1"/>
    <col min="4872" max="4872" width="7.85546875" style="602" customWidth="1"/>
    <col min="4873" max="4873" width="8" style="602" customWidth="1"/>
    <col min="4874" max="4874" width="7.42578125" style="602" customWidth="1"/>
    <col min="4875" max="4875" width="8.5703125" style="602" customWidth="1"/>
    <col min="4876" max="4876" width="8.7109375" style="602" customWidth="1"/>
    <col min="4877" max="4877" width="7.28515625" style="602" customWidth="1"/>
    <col min="4878" max="4878" width="8" style="602" customWidth="1"/>
    <col min="4879" max="4879" width="8.7109375" style="602" customWidth="1"/>
    <col min="4880" max="4880" width="6.42578125" style="602" customWidth="1"/>
    <col min="4881" max="4882" width="7.7109375" style="602" customWidth="1"/>
    <col min="4883" max="4883" width="7.140625" style="602" customWidth="1"/>
    <col min="4884" max="4884" width="8.140625" style="602" customWidth="1"/>
    <col min="4885" max="4885" width="8.42578125" style="602" customWidth="1"/>
    <col min="4886" max="4886" width="7.42578125" style="602" customWidth="1"/>
    <col min="4887" max="4887" width="8" style="602" customWidth="1"/>
    <col min="4888" max="4888" width="7.7109375" style="602" customWidth="1"/>
    <col min="4889" max="4889" width="6.42578125" style="602" customWidth="1"/>
    <col min="4890" max="4891" width="8" style="602" customWidth="1"/>
    <col min="4892" max="4892" width="7.7109375" style="602" customWidth="1"/>
    <col min="4893" max="4893" width="9.42578125" style="602" bestFit="1" customWidth="1"/>
    <col min="4894" max="4894" width="9" style="602"/>
    <col min="4895" max="4896" width="9.7109375" style="602" bestFit="1" customWidth="1"/>
    <col min="4897" max="4897" width="8.5703125" style="602" bestFit="1" customWidth="1"/>
    <col min="4898" max="5119" width="9" style="602"/>
    <col min="5120" max="5120" width="3.42578125" style="602" customWidth="1"/>
    <col min="5121" max="5121" width="19.42578125" style="602" customWidth="1"/>
    <col min="5122" max="5122" width="8.28515625" style="602" customWidth="1"/>
    <col min="5123" max="5123" width="9.140625" style="602" customWidth="1"/>
    <col min="5124" max="5124" width="7.28515625" style="602" customWidth="1"/>
    <col min="5125" max="5125" width="8.42578125" style="602" customWidth="1"/>
    <col min="5126" max="5126" width="8.85546875" style="602" customWidth="1"/>
    <col min="5127" max="5127" width="7.28515625" style="602" customWidth="1"/>
    <col min="5128" max="5128" width="7.85546875" style="602" customWidth="1"/>
    <col min="5129" max="5129" width="8" style="602" customWidth="1"/>
    <col min="5130" max="5130" width="7.42578125" style="602" customWidth="1"/>
    <col min="5131" max="5131" width="8.5703125" style="602" customWidth="1"/>
    <col min="5132" max="5132" width="8.7109375" style="602" customWidth="1"/>
    <col min="5133" max="5133" width="7.28515625" style="602" customWidth="1"/>
    <col min="5134" max="5134" width="8" style="602" customWidth="1"/>
    <col min="5135" max="5135" width="8.7109375" style="602" customWidth="1"/>
    <col min="5136" max="5136" width="6.42578125" style="602" customWidth="1"/>
    <col min="5137" max="5138" width="7.7109375" style="602" customWidth="1"/>
    <col min="5139" max="5139" width="7.140625" style="602" customWidth="1"/>
    <col min="5140" max="5140" width="8.140625" style="602" customWidth="1"/>
    <col min="5141" max="5141" width="8.42578125" style="602" customWidth="1"/>
    <col min="5142" max="5142" width="7.42578125" style="602" customWidth="1"/>
    <col min="5143" max="5143" width="8" style="602" customWidth="1"/>
    <col min="5144" max="5144" width="7.7109375" style="602" customWidth="1"/>
    <col min="5145" max="5145" width="6.42578125" style="602" customWidth="1"/>
    <col min="5146" max="5147" width="8" style="602" customWidth="1"/>
    <col min="5148" max="5148" width="7.7109375" style="602" customWidth="1"/>
    <col min="5149" max="5149" width="9.42578125" style="602" bestFit="1" customWidth="1"/>
    <col min="5150" max="5150" width="9" style="602"/>
    <col min="5151" max="5152" width="9.7109375" style="602" bestFit="1" customWidth="1"/>
    <col min="5153" max="5153" width="8.5703125" style="602" bestFit="1" customWidth="1"/>
    <col min="5154" max="5375" width="9" style="602"/>
    <col min="5376" max="5376" width="3.42578125" style="602" customWidth="1"/>
    <col min="5377" max="5377" width="19.42578125" style="602" customWidth="1"/>
    <col min="5378" max="5378" width="8.28515625" style="602" customWidth="1"/>
    <col min="5379" max="5379" width="9.140625" style="602" customWidth="1"/>
    <col min="5380" max="5380" width="7.28515625" style="602" customWidth="1"/>
    <col min="5381" max="5381" width="8.42578125" style="602" customWidth="1"/>
    <col min="5382" max="5382" width="8.85546875" style="602" customWidth="1"/>
    <col min="5383" max="5383" width="7.28515625" style="602" customWidth="1"/>
    <col min="5384" max="5384" width="7.85546875" style="602" customWidth="1"/>
    <col min="5385" max="5385" width="8" style="602" customWidth="1"/>
    <col min="5386" max="5386" width="7.42578125" style="602" customWidth="1"/>
    <col min="5387" max="5387" width="8.5703125" style="602" customWidth="1"/>
    <col min="5388" max="5388" width="8.7109375" style="602" customWidth="1"/>
    <col min="5389" max="5389" width="7.28515625" style="602" customWidth="1"/>
    <col min="5390" max="5390" width="8" style="602" customWidth="1"/>
    <col min="5391" max="5391" width="8.7109375" style="602" customWidth="1"/>
    <col min="5392" max="5392" width="6.42578125" style="602" customWidth="1"/>
    <col min="5393" max="5394" width="7.7109375" style="602" customWidth="1"/>
    <col min="5395" max="5395" width="7.140625" style="602" customWidth="1"/>
    <col min="5396" max="5396" width="8.140625" style="602" customWidth="1"/>
    <col min="5397" max="5397" width="8.42578125" style="602" customWidth="1"/>
    <col min="5398" max="5398" width="7.42578125" style="602" customWidth="1"/>
    <col min="5399" max="5399" width="8" style="602" customWidth="1"/>
    <col min="5400" max="5400" width="7.7109375" style="602" customWidth="1"/>
    <col min="5401" max="5401" width="6.42578125" style="602" customWidth="1"/>
    <col min="5402" max="5403" width="8" style="602" customWidth="1"/>
    <col min="5404" max="5404" width="7.7109375" style="602" customWidth="1"/>
    <col min="5405" max="5405" width="9.42578125" style="602" bestFit="1" customWidth="1"/>
    <col min="5406" max="5406" width="9" style="602"/>
    <col min="5407" max="5408" width="9.7109375" style="602" bestFit="1" customWidth="1"/>
    <col min="5409" max="5409" width="8.5703125" style="602" bestFit="1" customWidth="1"/>
    <col min="5410" max="5631" width="9" style="602"/>
    <col min="5632" max="5632" width="3.42578125" style="602" customWidth="1"/>
    <col min="5633" max="5633" width="19.42578125" style="602" customWidth="1"/>
    <col min="5634" max="5634" width="8.28515625" style="602" customWidth="1"/>
    <col min="5635" max="5635" width="9.140625" style="602" customWidth="1"/>
    <col min="5636" max="5636" width="7.28515625" style="602" customWidth="1"/>
    <col min="5637" max="5637" width="8.42578125" style="602" customWidth="1"/>
    <col min="5638" max="5638" width="8.85546875" style="602" customWidth="1"/>
    <col min="5639" max="5639" width="7.28515625" style="602" customWidth="1"/>
    <col min="5640" max="5640" width="7.85546875" style="602" customWidth="1"/>
    <col min="5641" max="5641" width="8" style="602" customWidth="1"/>
    <col min="5642" max="5642" width="7.42578125" style="602" customWidth="1"/>
    <col min="5643" max="5643" width="8.5703125" style="602" customWidth="1"/>
    <col min="5644" max="5644" width="8.7109375" style="602" customWidth="1"/>
    <col min="5645" max="5645" width="7.28515625" style="602" customWidth="1"/>
    <col min="5646" max="5646" width="8" style="602" customWidth="1"/>
    <col min="5647" max="5647" width="8.7109375" style="602" customWidth="1"/>
    <col min="5648" max="5648" width="6.42578125" style="602" customWidth="1"/>
    <col min="5649" max="5650" width="7.7109375" style="602" customWidth="1"/>
    <col min="5651" max="5651" width="7.140625" style="602" customWidth="1"/>
    <col min="5652" max="5652" width="8.140625" style="602" customWidth="1"/>
    <col min="5653" max="5653" width="8.42578125" style="602" customWidth="1"/>
    <col min="5654" max="5654" width="7.42578125" style="602" customWidth="1"/>
    <col min="5655" max="5655" width="8" style="602" customWidth="1"/>
    <col min="5656" max="5656" width="7.7109375" style="602" customWidth="1"/>
    <col min="5657" max="5657" width="6.42578125" style="602" customWidth="1"/>
    <col min="5658" max="5659" width="8" style="602" customWidth="1"/>
    <col min="5660" max="5660" width="7.7109375" style="602" customWidth="1"/>
    <col min="5661" max="5661" width="9.42578125" style="602" bestFit="1" customWidth="1"/>
    <col min="5662" max="5662" width="9" style="602"/>
    <col min="5663" max="5664" width="9.7109375" style="602" bestFit="1" customWidth="1"/>
    <col min="5665" max="5665" width="8.5703125" style="602" bestFit="1" customWidth="1"/>
    <col min="5666" max="5887" width="9" style="602"/>
    <col min="5888" max="5888" width="3.42578125" style="602" customWidth="1"/>
    <col min="5889" max="5889" width="19.42578125" style="602" customWidth="1"/>
    <col min="5890" max="5890" width="8.28515625" style="602" customWidth="1"/>
    <col min="5891" max="5891" width="9.140625" style="602" customWidth="1"/>
    <col min="5892" max="5892" width="7.28515625" style="602" customWidth="1"/>
    <col min="5893" max="5893" width="8.42578125" style="602" customWidth="1"/>
    <col min="5894" max="5894" width="8.85546875" style="602" customWidth="1"/>
    <col min="5895" max="5895" width="7.28515625" style="602" customWidth="1"/>
    <col min="5896" max="5896" width="7.85546875" style="602" customWidth="1"/>
    <col min="5897" max="5897" width="8" style="602" customWidth="1"/>
    <col min="5898" max="5898" width="7.42578125" style="602" customWidth="1"/>
    <col min="5899" max="5899" width="8.5703125" style="602" customWidth="1"/>
    <col min="5900" max="5900" width="8.7109375" style="602" customWidth="1"/>
    <col min="5901" max="5901" width="7.28515625" style="602" customWidth="1"/>
    <col min="5902" max="5902" width="8" style="602" customWidth="1"/>
    <col min="5903" max="5903" width="8.7109375" style="602" customWidth="1"/>
    <col min="5904" max="5904" width="6.42578125" style="602" customWidth="1"/>
    <col min="5905" max="5906" width="7.7109375" style="602" customWidth="1"/>
    <col min="5907" max="5907" width="7.140625" style="602" customWidth="1"/>
    <col min="5908" max="5908" width="8.140625" style="602" customWidth="1"/>
    <col min="5909" max="5909" width="8.42578125" style="602" customWidth="1"/>
    <col min="5910" max="5910" width="7.42578125" style="602" customWidth="1"/>
    <col min="5911" max="5911" width="8" style="602" customWidth="1"/>
    <col min="5912" max="5912" width="7.7109375" style="602" customWidth="1"/>
    <col min="5913" max="5913" width="6.42578125" style="602" customWidth="1"/>
    <col min="5914" max="5915" width="8" style="602" customWidth="1"/>
    <col min="5916" max="5916" width="7.7109375" style="602" customWidth="1"/>
    <col min="5917" max="5917" width="9.42578125" style="602" bestFit="1" customWidth="1"/>
    <col min="5918" max="5918" width="9" style="602"/>
    <col min="5919" max="5920" width="9.7109375" style="602" bestFit="1" customWidth="1"/>
    <col min="5921" max="5921" width="8.5703125" style="602" bestFit="1" customWidth="1"/>
    <col min="5922" max="6143" width="9" style="602"/>
    <col min="6144" max="6144" width="3.42578125" style="602" customWidth="1"/>
    <col min="6145" max="6145" width="19.42578125" style="602" customWidth="1"/>
    <col min="6146" max="6146" width="8.28515625" style="602" customWidth="1"/>
    <col min="6147" max="6147" width="9.140625" style="602" customWidth="1"/>
    <col min="6148" max="6148" width="7.28515625" style="602" customWidth="1"/>
    <col min="6149" max="6149" width="8.42578125" style="602" customWidth="1"/>
    <col min="6150" max="6150" width="8.85546875" style="602" customWidth="1"/>
    <col min="6151" max="6151" width="7.28515625" style="602" customWidth="1"/>
    <col min="6152" max="6152" width="7.85546875" style="602" customWidth="1"/>
    <col min="6153" max="6153" width="8" style="602" customWidth="1"/>
    <col min="6154" max="6154" width="7.42578125" style="602" customWidth="1"/>
    <col min="6155" max="6155" width="8.5703125" style="602" customWidth="1"/>
    <col min="6156" max="6156" width="8.7109375" style="602" customWidth="1"/>
    <col min="6157" max="6157" width="7.28515625" style="602" customWidth="1"/>
    <col min="6158" max="6158" width="8" style="602" customWidth="1"/>
    <col min="6159" max="6159" width="8.7109375" style="602" customWidth="1"/>
    <col min="6160" max="6160" width="6.42578125" style="602" customWidth="1"/>
    <col min="6161" max="6162" width="7.7109375" style="602" customWidth="1"/>
    <col min="6163" max="6163" width="7.140625" style="602" customWidth="1"/>
    <col min="6164" max="6164" width="8.140625" style="602" customWidth="1"/>
    <col min="6165" max="6165" width="8.42578125" style="602" customWidth="1"/>
    <col min="6166" max="6166" width="7.42578125" style="602" customWidth="1"/>
    <col min="6167" max="6167" width="8" style="602" customWidth="1"/>
    <col min="6168" max="6168" width="7.7109375" style="602" customWidth="1"/>
    <col min="6169" max="6169" width="6.42578125" style="602" customWidth="1"/>
    <col min="6170" max="6171" width="8" style="602" customWidth="1"/>
    <col min="6172" max="6172" width="7.7109375" style="602" customWidth="1"/>
    <col min="6173" max="6173" width="9.42578125" style="602" bestFit="1" customWidth="1"/>
    <col min="6174" max="6174" width="9" style="602"/>
    <col min="6175" max="6176" width="9.7109375" style="602" bestFit="1" customWidth="1"/>
    <col min="6177" max="6177" width="8.5703125" style="602" bestFit="1" customWidth="1"/>
    <col min="6178" max="6399" width="9" style="602"/>
    <col min="6400" max="6400" width="3.42578125" style="602" customWidth="1"/>
    <col min="6401" max="6401" width="19.42578125" style="602" customWidth="1"/>
    <col min="6402" max="6402" width="8.28515625" style="602" customWidth="1"/>
    <col min="6403" max="6403" width="9.140625" style="602" customWidth="1"/>
    <col min="6404" max="6404" width="7.28515625" style="602" customWidth="1"/>
    <col min="6405" max="6405" width="8.42578125" style="602" customWidth="1"/>
    <col min="6406" max="6406" width="8.85546875" style="602" customWidth="1"/>
    <col min="6407" max="6407" width="7.28515625" style="602" customWidth="1"/>
    <col min="6408" max="6408" width="7.85546875" style="602" customWidth="1"/>
    <col min="6409" max="6409" width="8" style="602" customWidth="1"/>
    <col min="6410" max="6410" width="7.42578125" style="602" customWidth="1"/>
    <col min="6411" max="6411" width="8.5703125" style="602" customWidth="1"/>
    <col min="6412" max="6412" width="8.7109375" style="602" customWidth="1"/>
    <col min="6413" max="6413" width="7.28515625" style="602" customWidth="1"/>
    <col min="6414" max="6414" width="8" style="602" customWidth="1"/>
    <col min="6415" max="6415" width="8.7109375" style="602" customWidth="1"/>
    <col min="6416" max="6416" width="6.42578125" style="602" customWidth="1"/>
    <col min="6417" max="6418" width="7.7109375" style="602" customWidth="1"/>
    <col min="6419" max="6419" width="7.140625" style="602" customWidth="1"/>
    <col min="6420" max="6420" width="8.140625" style="602" customWidth="1"/>
    <col min="6421" max="6421" width="8.42578125" style="602" customWidth="1"/>
    <col min="6422" max="6422" width="7.42578125" style="602" customWidth="1"/>
    <col min="6423" max="6423" width="8" style="602" customWidth="1"/>
    <col min="6424" max="6424" width="7.7109375" style="602" customWidth="1"/>
    <col min="6425" max="6425" width="6.42578125" style="602" customWidth="1"/>
    <col min="6426" max="6427" width="8" style="602" customWidth="1"/>
    <col min="6428" max="6428" width="7.7109375" style="602" customWidth="1"/>
    <col min="6429" max="6429" width="9.42578125" style="602" bestFit="1" customWidth="1"/>
    <col min="6430" max="6430" width="9" style="602"/>
    <col min="6431" max="6432" width="9.7109375" style="602" bestFit="1" customWidth="1"/>
    <col min="6433" max="6433" width="8.5703125" style="602" bestFit="1" customWidth="1"/>
    <col min="6434" max="6655" width="9" style="602"/>
    <col min="6656" max="6656" width="3.42578125" style="602" customWidth="1"/>
    <col min="6657" max="6657" width="19.42578125" style="602" customWidth="1"/>
    <col min="6658" max="6658" width="8.28515625" style="602" customWidth="1"/>
    <col min="6659" max="6659" width="9.140625" style="602" customWidth="1"/>
    <col min="6660" max="6660" width="7.28515625" style="602" customWidth="1"/>
    <col min="6661" max="6661" width="8.42578125" style="602" customWidth="1"/>
    <col min="6662" max="6662" width="8.85546875" style="602" customWidth="1"/>
    <col min="6663" max="6663" width="7.28515625" style="602" customWidth="1"/>
    <col min="6664" max="6664" width="7.85546875" style="602" customWidth="1"/>
    <col min="6665" max="6665" width="8" style="602" customWidth="1"/>
    <col min="6666" max="6666" width="7.42578125" style="602" customWidth="1"/>
    <col min="6667" max="6667" width="8.5703125" style="602" customWidth="1"/>
    <col min="6668" max="6668" width="8.7109375" style="602" customWidth="1"/>
    <col min="6669" max="6669" width="7.28515625" style="602" customWidth="1"/>
    <col min="6670" max="6670" width="8" style="602" customWidth="1"/>
    <col min="6671" max="6671" width="8.7109375" style="602" customWidth="1"/>
    <col min="6672" max="6672" width="6.42578125" style="602" customWidth="1"/>
    <col min="6673" max="6674" width="7.7109375" style="602" customWidth="1"/>
    <col min="6675" max="6675" width="7.140625" style="602" customWidth="1"/>
    <col min="6676" max="6676" width="8.140625" style="602" customWidth="1"/>
    <col min="6677" max="6677" width="8.42578125" style="602" customWidth="1"/>
    <col min="6678" max="6678" width="7.42578125" style="602" customWidth="1"/>
    <col min="6679" max="6679" width="8" style="602" customWidth="1"/>
    <col min="6680" max="6680" width="7.7109375" style="602" customWidth="1"/>
    <col min="6681" max="6681" width="6.42578125" style="602" customWidth="1"/>
    <col min="6682" max="6683" width="8" style="602" customWidth="1"/>
    <col min="6684" max="6684" width="7.7109375" style="602" customWidth="1"/>
    <col min="6685" max="6685" width="9.42578125" style="602" bestFit="1" customWidth="1"/>
    <col min="6686" max="6686" width="9" style="602"/>
    <col min="6687" max="6688" width="9.7109375" style="602" bestFit="1" customWidth="1"/>
    <col min="6689" max="6689" width="8.5703125" style="602" bestFit="1" customWidth="1"/>
    <col min="6690" max="6911" width="9" style="602"/>
    <col min="6912" max="6912" width="3.42578125" style="602" customWidth="1"/>
    <col min="6913" max="6913" width="19.42578125" style="602" customWidth="1"/>
    <col min="6914" max="6914" width="8.28515625" style="602" customWidth="1"/>
    <col min="6915" max="6915" width="9.140625" style="602" customWidth="1"/>
    <col min="6916" max="6916" width="7.28515625" style="602" customWidth="1"/>
    <col min="6917" max="6917" width="8.42578125" style="602" customWidth="1"/>
    <col min="6918" max="6918" width="8.85546875" style="602" customWidth="1"/>
    <col min="6919" max="6919" width="7.28515625" style="602" customWidth="1"/>
    <col min="6920" max="6920" width="7.85546875" style="602" customWidth="1"/>
    <col min="6921" max="6921" width="8" style="602" customWidth="1"/>
    <col min="6922" max="6922" width="7.42578125" style="602" customWidth="1"/>
    <col min="6923" max="6923" width="8.5703125" style="602" customWidth="1"/>
    <col min="6924" max="6924" width="8.7109375" style="602" customWidth="1"/>
    <col min="6925" max="6925" width="7.28515625" style="602" customWidth="1"/>
    <col min="6926" max="6926" width="8" style="602" customWidth="1"/>
    <col min="6927" max="6927" width="8.7109375" style="602" customWidth="1"/>
    <col min="6928" max="6928" width="6.42578125" style="602" customWidth="1"/>
    <col min="6929" max="6930" width="7.7109375" style="602" customWidth="1"/>
    <col min="6931" max="6931" width="7.140625" style="602" customWidth="1"/>
    <col min="6932" max="6932" width="8.140625" style="602" customWidth="1"/>
    <col min="6933" max="6933" width="8.42578125" style="602" customWidth="1"/>
    <col min="6934" max="6934" width="7.42578125" style="602" customWidth="1"/>
    <col min="6935" max="6935" width="8" style="602" customWidth="1"/>
    <col min="6936" max="6936" width="7.7109375" style="602" customWidth="1"/>
    <col min="6937" max="6937" width="6.42578125" style="602" customWidth="1"/>
    <col min="6938" max="6939" width="8" style="602" customWidth="1"/>
    <col min="6940" max="6940" width="7.7109375" style="602" customWidth="1"/>
    <col min="6941" max="6941" width="9.42578125" style="602" bestFit="1" customWidth="1"/>
    <col min="6942" max="6942" width="9" style="602"/>
    <col min="6943" max="6944" width="9.7109375" style="602" bestFit="1" customWidth="1"/>
    <col min="6945" max="6945" width="8.5703125" style="602" bestFit="1" customWidth="1"/>
    <col min="6946" max="7167" width="9" style="602"/>
    <col min="7168" max="7168" width="3.42578125" style="602" customWidth="1"/>
    <col min="7169" max="7169" width="19.42578125" style="602" customWidth="1"/>
    <col min="7170" max="7170" width="8.28515625" style="602" customWidth="1"/>
    <col min="7171" max="7171" width="9.140625" style="602" customWidth="1"/>
    <col min="7172" max="7172" width="7.28515625" style="602" customWidth="1"/>
    <col min="7173" max="7173" width="8.42578125" style="602" customWidth="1"/>
    <col min="7174" max="7174" width="8.85546875" style="602" customWidth="1"/>
    <col min="7175" max="7175" width="7.28515625" style="602" customWidth="1"/>
    <col min="7176" max="7176" width="7.85546875" style="602" customWidth="1"/>
    <col min="7177" max="7177" width="8" style="602" customWidth="1"/>
    <col min="7178" max="7178" width="7.42578125" style="602" customWidth="1"/>
    <col min="7179" max="7179" width="8.5703125" style="602" customWidth="1"/>
    <col min="7180" max="7180" width="8.7109375" style="602" customWidth="1"/>
    <col min="7181" max="7181" width="7.28515625" style="602" customWidth="1"/>
    <col min="7182" max="7182" width="8" style="602" customWidth="1"/>
    <col min="7183" max="7183" width="8.7109375" style="602" customWidth="1"/>
    <col min="7184" max="7184" width="6.42578125" style="602" customWidth="1"/>
    <col min="7185" max="7186" width="7.7109375" style="602" customWidth="1"/>
    <col min="7187" max="7187" width="7.140625" style="602" customWidth="1"/>
    <col min="7188" max="7188" width="8.140625" style="602" customWidth="1"/>
    <col min="7189" max="7189" width="8.42578125" style="602" customWidth="1"/>
    <col min="7190" max="7190" width="7.42578125" style="602" customWidth="1"/>
    <col min="7191" max="7191" width="8" style="602" customWidth="1"/>
    <col min="7192" max="7192" width="7.7109375" style="602" customWidth="1"/>
    <col min="7193" max="7193" width="6.42578125" style="602" customWidth="1"/>
    <col min="7194" max="7195" width="8" style="602" customWidth="1"/>
    <col min="7196" max="7196" width="7.7109375" style="602" customWidth="1"/>
    <col min="7197" max="7197" width="9.42578125" style="602" bestFit="1" customWidth="1"/>
    <col min="7198" max="7198" width="9" style="602"/>
    <col min="7199" max="7200" width="9.7109375" style="602" bestFit="1" customWidth="1"/>
    <col min="7201" max="7201" width="8.5703125" style="602" bestFit="1" customWidth="1"/>
    <col min="7202" max="7423" width="9" style="602"/>
    <col min="7424" max="7424" width="3.42578125" style="602" customWidth="1"/>
    <col min="7425" max="7425" width="19.42578125" style="602" customWidth="1"/>
    <col min="7426" max="7426" width="8.28515625" style="602" customWidth="1"/>
    <col min="7427" max="7427" width="9.140625" style="602" customWidth="1"/>
    <col min="7428" max="7428" width="7.28515625" style="602" customWidth="1"/>
    <col min="7429" max="7429" width="8.42578125" style="602" customWidth="1"/>
    <col min="7430" max="7430" width="8.85546875" style="602" customWidth="1"/>
    <col min="7431" max="7431" width="7.28515625" style="602" customWidth="1"/>
    <col min="7432" max="7432" width="7.85546875" style="602" customWidth="1"/>
    <col min="7433" max="7433" width="8" style="602" customWidth="1"/>
    <col min="7434" max="7434" width="7.42578125" style="602" customWidth="1"/>
    <col min="7435" max="7435" width="8.5703125" style="602" customWidth="1"/>
    <col min="7436" max="7436" width="8.7109375" style="602" customWidth="1"/>
    <col min="7437" max="7437" width="7.28515625" style="602" customWidth="1"/>
    <col min="7438" max="7438" width="8" style="602" customWidth="1"/>
    <col min="7439" max="7439" width="8.7109375" style="602" customWidth="1"/>
    <col min="7440" max="7440" width="6.42578125" style="602" customWidth="1"/>
    <col min="7441" max="7442" width="7.7109375" style="602" customWidth="1"/>
    <col min="7443" max="7443" width="7.140625" style="602" customWidth="1"/>
    <col min="7444" max="7444" width="8.140625" style="602" customWidth="1"/>
    <col min="7445" max="7445" width="8.42578125" style="602" customWidth="1"/>
    <col min="7446" max="7446" width="7.42578125" style="602" customWidth="1"/>
    <col min="7447" max="7447" width="8" style="602" customWidth="1"/>
    <col min="7448" max="7448" width="7.7109375" style="602" customWidth="1"/>
    <col min="7449" max="7449" width="6.42578125" style="602" customWidth="1"/>
    <col min="7450" max="7451" width="8" style="602" customWidth="1"/>
    <col min="7452" max="7452" width="7.7109375" style="602" customWidth="1"/>
    <col min="7453" max="7453" width="9.42578125" style="602" bestFit="1" customWidth="1"/>
    <col min="7454" max="7454" width="9" style="602"/>
    <col min="7455" max="7456" width="9.7109375" style="602" bestFit="1" customWidth="1"/>
    <col min="7457" max="7457" width="8.5703125" style="602" bestFit="1" customWidth="1"/>
    <col min="7458" max="7679" width="9" style="602"/>
    <col min="7680" max="7680" width="3.42578125" style="602" customWidth="1"/>
    <col min="7681" max="7681" width="19.42578125" style="602" customWidth="1"/>
    <col min="7682" max="7682" width="8.28515625" style="602" customWidth="1"/>
    <col min="7683" max="7683" width="9.140625" style="602" customWidth="1"/>
    <col min="7684" max="7684" width="7.28515625" style="602" customWidth="1"/>
    <col min="7685" max="7685" width="8.42578125" style="602" customWidth="1"/>
    <col min="7686" max="7686" width="8.85546875" style="602" customWidth="1"/>
    <col min="7687" max="7687" width="7.28515625" style="602" customWidth="1"/>
    <col min="7688" max="7688" width="7.85546875" style="602" customWidth="1"/>
    <col min="7689" max="7689" width="8" style="602" customWidth="1"/>
    <col min="7690" max="7690" width="7.42578125" style="602" customWidth="1"/>
    <col min="7691" max="7691" width="8.5703125" style="602" customWidth="1"/>
    <col min="7692" max="7692" width="8.7109375" style="602" customWidth="1"/>
    <col min="7693" max="7693" width="7.28515625" style="602" customWidth="1"/>
    <col min="7694" max="7694" width="8" style="602" customWidth="1"/>
    <col min="7695" max="7695" width="8.7109375" style="602" customWidth="1"/>
    <col min="7696" max="7696" width="6.42578125" style="602" customWidth="1"/>
    <col min="7697" max="7698" width="7.7109375" style="602" customWidth="1"/>
    <col min="7699" max="7699" width="7.140625" style="602" customWidth="1"/>
    <col min="7700" max="7700" width="8.140625" style="602" customWidth="1"/>
    <col min="7701" max="7701" width="8.42578125" style="602" customWidth="1"/>
    <col min="7702" max="7702" width="7.42578125" style="602" customWidth="1"/>
    <col min="7703" max="7703" width="8" style="602" customWidth="1"/>
    <col min="7704" max="7704" width="7.7109375" style="602" customWidth="1"/>
    <col min="7705" max="7705" width="6.42578125" style="602" customWidth="1"/>
    <col min="7706" max="7707" width="8" style="602" customWidth="1"/>
    <col min="7708" max="7708" width="7.7109375" style="602" customWidth="1"/>
    <col min="7709" max="7709" width="9.42578125" style="602" bestFit="1" customWidth="1"/>
    <col min="7710" max="7710" width="9" style="602"/>
    <col min="7711" max="7712" width="9.7109375" style="602" bestFit="1" customWidth="1"/>
    <col min="7713" max="7713" width="8.5703125" style="602" bestFit="1" customWidth="1"/>
    <col min="7714" max="7935" width="9" style="602"/>
    <col min="7936" max="7936" width="3.42578125" style="602" customWidth="1"/>
    <col min="7937" max="7937" width="19.42578125" style="602" customWidth="1"/>
    <col min="7938" max="7938" width="8.28515625" style="602" customWidth="1"/>
    <col min="7939" max="7939" width="9.140625" style="602" customWidth="1"/>
    <col min="7940" max="7940" width="7.28515625" style="602" customWidth="1"/>
    <col min="7941" max="7941" width="8.42578125" style="602" customWidth="1"/>
    <col min="7942" max="7942" width="8.85546875" style="602" customWidth="1"/>
    <col min="7943" max="7943" width="7.28515625" style="602" customWidth="1"/>
    <col min="7944" max="7944" width="7.85546875" style="602" customWidth="1"/>
    <col min="7945" max="7945" width="8" style="602" customWidth="1"/>
    <col min="7946" max="7946" width="7.42578125" style="602" customWidth="1"/>
    <col min="7947" max="7947" width="8.5703125" style="602" customWidth="1"/>
    <col min="7948" max="7948" width="8.7109375" style="602" customWidth="1"/>
    <col min="7949" max="7949" width="7.28515625" style="602" customWidth="1"/>
    <col min="7950" max="7950" width="8" style="602" customWidth="1"/>
    <col min="7951" max="7951" width="8.7109375" style="602" customWidth="1"/>
    <col min="7952" max="7952" width="6.42578125" style="602" customWidth="1"/>
    <col min="7953" max="7954" width="7.7109375" style="602" customWidth="1"/>
    <col min="7955" max="7955" width="7.140625" style="602" customWidth="1"/>
    <col min="7956" max="7956" width="8.140625" style="602" customWidth="1"/>
    <col min="7957" max="7957" width="8.42578125" style="602" customWidth="1"/>
    <col min="7958" max="7958" width="7.42578125" style="602" customWidth="1"/>
    <col min="7959" max="7959" width="8" style="602" customWidth="1"/>
    <col min="7960" max="7960" width="7.7109375" style="602" customWidth="1"/>
    <col min="7961" max="7961" width="6.42578125" style="602" customWidth="1"/>
    <col min="7962" max="7963" width="8" style="602" customWidth="1"/>
    <col min="7964" max="7964" width="7.7109375" style="602" customWidth="1"/>
    <col min="7965" max="7965" width="9.42578125" style="602" bestFit="1" customWidth="1"/>
    <col min="7966" max="7966" width="9" style="602"/>
    <col min="7967" max="7968" width="9.7109375" style="602" bestFit="1" customWidth="1"/>
    <col min="7969" max="7969" width="8.5703125" style="602" bestFit="1" customWidth="1"/>
    <col min="7970" max="8191" width="9" style="602"/>
    <col min="8192" max="8192" width="3.42578125" style="602" customWidth="1"/>
    <col min="8193" max="8193" width="19.42578125" style="602" customWidth="1"/>
    <col min="8194" max="8194" width="8.28515625" style="602" customWidth="1"/>
    <col min="8195" max="8195" width="9.140625" style="602" customWidth="1"/>
    <col min="8196" max="8196" width="7.28515625" style="602" customWidth="1"/>
    <col min="8197" max="8197" width="8.42578125" style="602" customWidth="1"/>
    <col min="8198" max="8198" width="8.85546875" style="602" customWidth="1"/>
    <col min="8199" max="8199" width="7.28515625" style="602" customWidth="1"/>
    <col min="8200" max="8200" width="7.85546875" style="602" customWidth="1"/>
    <col min="8201" max="8201" width="8" style="602" customWidth="1"/>
    <col min="8202" max="8202" width="7.42578125" style="602" customWidth="1"/>
    <col min="8203" max="8203" width="8.5703125" style="602" customWidth="1"/>
    <col min="8204" max="8204" width="8.7109375" style="602" customWidth="1"/>
    <col min="8205" max="8205" width="7.28515625" style="602" customWidth="1"/>
    <col min="8206" max="8206" width="8" style="602" customWidth="1"/>
    <col min="8207" max="8207" width="8.7109375" style="602" customWidth="1"/>
    <col min="8208" max="8208" width="6.42578125" style="602" customWidth="1"/>
    <col min="8209" max="8210" width="7.7109375" style="602" customWidth="1"/>
    <col min="8211" max="8211" width="7.140625" style="602" customWidth="1"/>
    <col min="8212" max="8212" width="8.140625" style="602" customWidth="1"/>
    <col min="8213" max="8213" width="8.42578125" style="602" customWidth="1"/>
    <col min="8214" max="8214" width="7.42578125" style="602" customWidth="1"/>
    <col min="8215" max="8215" width="8" style="602" customWidth="1"/>
    <col min="8216" max="8216" width="7.7109375" style="602" customWidth="1"/>
    <col min="8217" max="8217" width="6.42578125" style="602" customWidth="1"/>
    <col min="8218" max="8219" width="8" style="602" customWidth="1"/>
    <col min="8220" max="8220" width="7.7109375" style="602" customWidth="1"/>
    <col min="8221" max="8221" width="9.42578125" style="602" bestFit="1" customWidth="1"/>
    <col min="8222" max="8222" width="9" style="602"/>
    <col min="8223" max="8224" width="9.7109375" style="602" bestFit="1" customWidth="1"/>
    <col min="8225" max="8225" width="8.5703125" style="602" bestFit="1" customWidth="1"/>
    <col min="8226" max="8447" width="9" style="602"/>
    <col min="8448" max="8448" width="3.42578125" style="602" customWidth="1"/>
    <col min="8449" max="8449" width="19.42578125" style="602" customWidth="1"/>
    <col min="8450" max="8450" width="8.28515625" style="602" customWidth="1"/>
    <col min="8451" max="8451" width="9.140625" style="602" customWidth="1"/>
    <col min="8452" max="8452" width="7.28515625" style="602" customWidth="1"/>
    <col min="8453" max="8453" width="8.42578125" style="602" customWidth="1"/>
    <col min="8454" max="8454" width="8.85546875" style="602" customWidth="1"/>
    <col min="8455" max="8455" width="7.28515625" style="602" customWidth="1"/>
    <col min="8456" max="8456" width="7.85546875" style="602" customWidth="1"/>
    <col min="8457" max="8457" width="8" style="602" customWidth="1"/>
    <col min="8458" max="8458" width="7.42578125" style="602" customWidth="1"/>
    <col min="8459" max="8459" width="8.5703125" style="602" customWidth="1"/>
    <col min="8460" max="8460" width="8.7109375" style="602" customWidth="1"/>
    <col min="8461" max="8461" width="7.28515625" style="602" customWidth="1"/>
    <col min="8462" max="8462" width="8" style="602" customWidth="1"/>
    <col min="8463" max="8463" width="8.7109375" style="602" customWidth="1"/>
    <col min="8464" max="8464" width="6.42578125" style="602" customWidth="1"/>
    <col min="8465" max="8466" width="7.7109375" style="602" customWidth="1"/>
    <col min="8467" max="8467" width="7.140625" style="602" customWidth="1"/>
    <col min="8468" max="8468" width="8.140625" style="602" customWidth="1"/>
    <col min="8469" max="8469" width="8.42578125" style="602" customWidth="1"/>
    <col min="8470" max="8470" width="7.42578125" style="602" customWidth="1"/>
    <col min="8471" max="8471" width="8" style="602" customWidth="1"/>
    <col min="8472" max="8472" width="7.7109375" style="602" customWidth="1"/>
    <col min="8473" max="8473" width="6.42578125" style="602" customWidth="1"/>
    <col min="8474" max="8475" width="8" style="602" customWidth="1"/>
    <col min="8476" max="8476" width="7.7109375" style="602" customWidth="1"/>
    <col min="8477" max="8477" width="9.42578125" style="602" bestFit="1" customWidth="1"/>
    <col min="8478" max="8478" width="9" style="602"/>
    <col min="8479" max="8480" width="9.7109375" style="602" bestFit="1" customWidth="1"/>
    <col min="8481" max="8481" width="8.5703125" style="602" bestFit="1" customWidth="1"/>
    <col min="8482" max="8703" width="9" style="602"/>
    <col min="8704" max="8704" width="3.42578125" style="602" customWidth="1"/>
    <col min="8705" max="8705" width="19.42578125" style="602" customWidth="1"/>
    <col min="8706" max="8706" width="8.28515625" style="602" customWidth="1"/>
    <col min="8707" max="8707" width="9.140625" style="602" customWidth="1"/>
    <col min="8708" max="8708" width="7.28515625" style="602" customWidth="1"/>
    <col min="8709" max="8709" width="8.42578125" style="602" customWidth="1"/>
    <col min="8710" max="8710" width="8.85546875" style="602" customWidth="1"/>
    <col min="8711" max="8711" width="7.28515625" style="602" customWidth="1"/>
    <col min="8712" max="8712" width="7.85546875" style="602" customWidth="1"/>
    <col min="8713" max="8713" width="8" style="602" customWidth="1"/>
    <col min="8714" max="8714" width="7.42578125" style="602" customWidth="1"/>
    <col min="8715" max="8715" width="8.5703125" style="602" customWidth="1"/>
    <col min="8716" max="8716" width="8.7109375" style="602" customWidth="1"/>
    <col min="8717" max="8717" width="7.28515625" style="602" customWidth="1"/>
    <col min="8718" max="8718" width="8" style="602" customWidth="1"/>
    <col min="8719" max="8719" width="8.7109375" style="602" customWidth="1"/>
    <col min="8720" max="8720" width="6.42578125" style="602" customWidth="1"/>
    <col min="8721" max="8722" width="7.7109375" style="602" customWidth="1"/>
    <col min="8723" max="8723" width="7.140625" style="602" customWidth="1"/>
    <col min="8724" max="8724" width="8.140625" style="602" customWidth="1"/>
    <col min="8725" max="8725" width="8.42578125" style="602" customWidth="1"/>
    <col min="8726" max="8726" width="7.42578125" style="602" customWidth="1"/>
    <col min="8727" max="8727" width="8" style="602" customWidth="1"/>
    <col min="8728" max="8728" width="7.7109375" style="602" customWidth="1"/>
    <col min="8729" max="8729" width="6.42578125" style="602" customWidth="1"/>
    <col min="8730" max="8731" width="8" style="602" customWidth="1"/>
    <col min="8732" max="8732" width="7.7109375" style="602" customWidth="1"/>
    <col min="8733" max="8733" width="9.42578125" style="602" bestFit="1" customWidth="1"/>
    <col min="8734" max="8734" width="9" style="602"/>
    <col min="8735" max="8736" width="9.7109375" style="602" bestFit="1" customWidth="1"/>
    <col min="8737" max="8737" width="8.5703125" style="602" bestFit="1" customWidth="1"/>
    <col min="8738" max="8959" width="9" style="602"/>
    <col min="8960" max="8960" width="3.42578125" style="602" customWidth="1"/>
    <col min="8961" max="8961" width="19.42578125" style="602" customWidth="1"/>
    <col min="8962" max="8962" width="8.28515625" style="602" customWidth="1"/>
    <col min="8963" max="8963" width="9.140625" style="602" customWidth="1"/>
    <col min="8964" max="8964" width="7.28515625" style="602" customWidth="1"/>
    <col min="8965" max="8965" width="8.42578125" style="602" customWidth="1"/>
    <col min="8966" max="8966" width="8.85546875" style="602" customWidth="1"/>
    <col min="8967" max="8967" width="7.28515625" style="602" customWidth="1"/>
    <col min="8968" max="8968" width="7.85546875" style="602" customWidth="1"/>
    <col min="8969" max="8969" width="8" style="602" customWidth="1"/>
    <col min="8970" max="8970" width="7.42578125" style="602" customWidth="1"/>
    <col min="8971" max="8971" width="8.5703125" style="602" customWidth="1"/>
    <col min="8972" max="8972" width="8.7109375" style="602" customWidth="1"/>
    <col min="8973" max="8973" width="7.28515625" style="602" customWidth="1"/>
    <col min="8974" max="8974" width="8" style="602" customWidth="1"/>
    <col min="8975" max="8975" width="8.7109375" style="602" customWidth="1"/>
    <col min="8976" max="8976" width="6.42578125" style="602" customWidth="1"/>
    <col min="8977" max="8978" width="7.7109375" style="602" customWidth="1"/>
    <col min="8979" max="8979" width="7.140625" style="602" customWidth="1"/>
    <col min="8980" max="8980" width="8.140625" style="602" customWidth="1"/>
    <col min="8981" max="8981" width="8.42578125" style="602" customWidth="1"/>
    <col min="8982" max="8982" width="7.42578125" style="602" customWidth="1"/>
    <col min="8983" max="8983" width="8" style="602" customWidth="1"/>
    <col min="8984" max="8984" width="7.7109375" style="602" customWidth="1"/>
    <col min="8985" max="8985" width="6.42578125" style="602" customWidth="1"/>
    <col min="8986" max="8987" width="8" style="602" customWidth="1"/>
    <col min="8988" max="8988" width="7.7109375" style="602" customWidth="1"/>
    <col min="8989" max="8989" width="9.42578125" style="602" bestFit="1" customWidth="1"/>
    <col min="8990" max="8990" width="9" style="602"/>
    <col min="8991" max="8992" width="9.7109375" style="602" bestFit="1" customWidth="1"/>
    <col min="8993" max="8993" width="8.5703125" style="602" bestFit="1" customWidth="1"/>
    <col min="8994" max="9215" width="9" style="602"/>
    <col min="9216" max="9216" width="3.42578125" style="602" customWidth="1"/>
    <col min="9217" max="9217" width="19.42578125" style="602" customWidth="1"/>
    <col min="9218" max="9218" width="8.28515625" style="602" customWidth="1"/>
    <col min="9219" max="9219" width="9.140625" style="602" customWidth="1"/>
    <col min="9220" max="9220" width="7.28515625" style="602" customWidth="1"/>
    <col min="9221" max="9221" width="8.42578125" style="602" customWidth="1"/>
    <col min="9222" max="9222" width="8.85546875" style="602" customWidth="1"/>
    <col min="9223" max="9223" width="7.28515625" style="602" customWidth="1"/>
    <col min="9224" max="9224" width="7.85546875" style="602" customWidth="1"/>
    <col min="9225" max="9225" width="8" style="602" customWidth="1"/>
    <col min="9226" max="9226" width="7.42578125" style="602" customWidth="1"/>
    <col min="9227" max="9227" width="8.5703125" style="602" customWidth="1"/>
    <col min="9228" max="9228" width="8.7109375" style="602" customWidth="1"/>
    <col min="9229" max="9229" width="7.28515625" style="602" customWidth="1"/>
    <col min="9230" max="9230" width="8" style="602" customWidth="1"/>
    <col min="9231" max="9231" width="8.7109375" style="602" customWidth="1"/>
    <col min="9232" max="9232" width="6.42578125" style="602" customWidth="1"/>
    <col min="9233" max="9234" width="7.7109375" style="602" customWidth="1"/>
    <col min="9235" max="9235" width="7.140625" style="602" customWidth="1"/>
    <col min="9236" max="9236" width="8.140625" style="602" customWidth="1"/>
    <col min="9237" max="9237" width="8.42578125" style="602" customWidth="1"/>
    <col min="9238" max="9238" width="7.42578125" style="602" customWidth="1"/>
    <col min="9239" max="9239" width="8" style="602" customWidth="1"/>
    <col min="9240" max="9240" width="7.7109375" style="602" customWidth="1"/>
    <col min="9241" max="9241" width="6.42578125" style="602" customWidth="1"/>
    <col min="9242" max="9243" width="8" style="602" customWidth="1"/>
    <col min="9244" max="9244" width="7.7109375" style="602" customWidth="1"/>
    <col min="9245" max="9245" width="9.42578125" style="602" bestFit="1" customWidth="1"/>
    <col min="9246" max="9246" width="9" style="602"/>
    <col min="9247" max="9248" width="9.7109375" style="602" bestFit="1" customWidth="1"/>
    <col min="9249" max="9249" width="8.5703125" style="602" bestFit="1" customWidth="1"/>
    <col min="9250" max="9471" width="9" style="602"/>
    <col min="9472" max="9472" width="3.42578125" style="602" customWidth="1"/>
    <col min="9473" max="9473" width="19.42578125" style="602" customWidth="1"/>
    <col min="9474" max="9474" width="8.28515625" style="602" customWidth="1"/>
    <col min="9475" max="9475" width="9.140625" style="602" customWidth="1"/>
    <col min="9476" max="9476" width="7.28515625" style="602" customWidth="1"/>
    <col min="9477" max="9477" width="8.42578125" style="602" customWidth="1"/>
    <col min="9478" max="9478" width="8.85546875" style="602" customWidth="1"/>
    <col min="9479" max="9479" width="7.28515625" style="602" customWidth="1"/>
    <col min="9480" max="9480" width="7.85546875" style="602" customWidth="1"/>
    <col min="9481" max="9481" width="8" style="602" customWidth="1"/>
    <col min="9482" max="9482" width="7.42578125" style="602" customWidth="1"/>
    <col min="9483" max="9483" width="8.5703125" style="602" customWidth="1"/>
    <col min="9484" max="9484" width="8.7109375" style="602" customWidth="1"/>
    <col min="9485" max="9485" width="7.28515625" style="602" customWidth="1"/>
    <col min="9486" max="9486" width="8" style="602" customWidth="1"/>
    <col min="9487" max="9487" width="8.7109375" style="602" customWidth="1"/>
    <col min="9488" max="9488" width="6.42578125" style="602" customWidth="1"/>
    <col min="9489" max="9490" width="7.7109375" style="602" customWidth="1"/>
    <col min="9491" max="9491" width="7.140625" style="602" customWidth="1"/>
    <col min="9492" max="9492" width="8.140625" style="602" customWidth="1"/>
    <col min="9493" max="9493" width="8.42578125" style="602" customWidth="1"/>
    <col min="9494" max="9494" width="7.42578125" style="602" customWidth="1"/>
    <col min="9495" max="9495" width="8" style="602" customWidth="1"/>
    <col min="9496" max="9496" width="7.7109375" style="602" customWidth="1"/>
    <col min="9497" max="9497" width="6.42578125" style="602" customWidth="1"/>
    <col min="9498" max="9499" width="8" style="602" customWidth="1"/>
    <col min="9500" max="9500" width="7.7109375" style="602" customWidth="1"/>
    <col min="9501" max="9501" width="9.42578125" style="602" bestFit="1" customWidth="1"/>
    <col min="9502" max="9502" width="9" style="602"/>
    <col min="9503" max="9504" width="9.7109375" style="602" bestFit="1" customWidth="1"/>
    <col min="9505" max="9505" width="8.5703125" style="602" bestFit="1" customWidth="1"/>
    <col min="9506" max="9727" width="9" style="602"/>
    <col min="9728" max="9728" width="3.42578125" style="602" customWidth="1"/>
    <col min="9729" max="9729" width="19.42578125" style="602" customWidth="1"/>
    <col min="9730" max="9730" width="8.28515625" style="602" customWidth="1"/>
    <col min="9731" max="9731" width="9.140625" style="602" customWidth="1"/>
    <col min="9732" max="9732" width="7.28515625" style="602" customWidth="1"/>
    <col min="9733" max="9733" width="8.42578125" style="602" customWidth="1"/>
    <col min="9734" max="9734" width="8.85546875" style="602" customWidth="1"/>
    <col min="9735" max="9735" width="7.28515625" style="602" customWidth="1"/>
    <col min="9736" max="9736" width="7.85546875" style="602" customWidth="1"/>
    <col min="9737" max="9737" width="8" style="602" customWidth="1"/>
    <col min="9738" max="9738" width="7.42578125" style="602" customWidth="1"/>
    <col min="9739" max="9739" width="8.5703125" style="602" customWidth="1"/>
    <col min="9740" max="9740" width="8.7109375" style="602" customWidth="1"/>
    <col min="9741" max="9741" width="7.28515625" style="602" customWidth="1"/>
    <col min="9742" max="9742" width="8" style="602" customWidth="1"/>
    <col min="9743" max="9743" width="8.7109375" style="602" customWidth="1"/>
    <col min="9744" max="9744" width="6.42578125" style="602" customWidth="1"/>
    <col min="9745" max="9746" width="7.7109375" style="602" customWidth="1"/>
    <col min="9747" max="9747" width="7.140625" style="602" customWidth="1"/>
    <col min="9748" max="9748" width="8.140625" style="602" customWidth="1"/>
    <col min="9749" max="9749" width="8.42578125" style="602" customWidth="1"/>
    <col min="9750" max="9750" width="7.42578125" style="602" customWidth="1"/>
    <col min="9751" max="9751" width="8" style="602" customWidth="1"/>
    <col min="9752" max="9752" width="7.7109375" style="602" customWidth="1"/>
    <col min="9753" max="9753" width="6.42578125" style="602" customWidth="1"/>
    <col min="9754" max="9755" width="8" style="602" customWidth="1"/>
    <col min="9756" max="9756" width="7.7109375" style="602" customWidth="1"/>
    <col min="9757" max="9757" width="9.42578125" style="602" bestFit="1" customWidth="1"/>
    <col min="9758" max="9758" width="9" style="602"/>
    <col min="9759" max="9760" width="9.7109375" style="602" bestFit="1" customWidth="1"/>
    <col min="9761" max="9761" width="8.5703125" style="602" bestFit="1" customWidth="1"/>
    <col min="9762" max="9983" width="9" style="602"/>
    <col min="9984" max="9984" width="3.42578125" style="602" customWidth="1"/>
    <col min="9985" max="9985" width="19.42578125" style="602" customWidth="1"/>
    <col min="9986" max="9986" width="8.28515625" style="602" customWidth="1"/>
    <col min="9987" max="9987" width="9.140625" style="602" customWidth="1"/>
    <col min="9988" max="9988" width="7.28515625" style="602" customWidth="1"/>
    <col min="9989" max="9989" width="8.42578125" style="602" customWidth="1"/>
    <col min="9990" max="9990" width="8.85546875" style="602" customWidth="1"/>
    <col min="9991" max="9991" width="7.28515625" style="602" customWidth="1"/>
    <col min="9992" max="9992" width="7.85546875" style="602" customWidth="1"/>
    <col min="9993" max="9993" width="8" style="602" customWidth="1"/>
    <col min="9994" max="9994" width="7.42578125" style="602" customWidth="1"/>
    <col min="9995" max="9995" width="8.5703125" style="602" customWidth="1"/>
    <col min="9996" max="9996" width="8.7109375" style="602" customWidth="1"/>
    <col min="9997" max="9997" width="7.28515625" style="602" customWidth="1"/>
    <col min="9998" max="9998" width="8" style="602" customWidth="1"/>
    <col min="9999" max="9999" width="8.7109375" style="602" customWidth="1"/>
    <col min="10000" max="10000" width="6.42578125" style="602" customWidth="1"/>
    <col min="10001" max="10002" width="7.7109375" style="602" customWidth="1"/>
    <col min="10003" max="10003" width="7.140625" style="602" customWidth="1"/>
    <col min="10004" max="10004" width="8.140625" style="602" customWidth="1"/>
    <col min="10005" max="10005" width="8.42578125" style="602" customWidth="1"/>
    <col min="10006" max="10006" width="7.42578125" style="602" customWidth="1"/>
    <col min="10007" max="10007" width="8" style="602" customWidth="1"/>
    <col min="10008" max="10008" width="7.7109375" style="602" customWidth="1"/>
    <col min="10009" max="10009" width="6.42578125" style="602" customWidth="1"/>
    <col min="10010" max="10011" width="8" style="602" customWidth="1"/>
    <col min="10012" max="10012" width="7.7109375" style="602" customWidth="1"/>
    <col min="10013" max="10013" width="9.42578125" style="602" bestFit="1" customWidth="1"/>
    <col min="10014" max="10014" width="9" style="602"/>
    <col min="10015" max="10016" width="9.7109375" style="602" bestFit="1" customWidth="1"/>
    <col min="10017" max="10017" width="8.5703125" style="602" bestFit="1" customWidth="1"/>
    <col min="10018" max="10239" width="9" style="602"/>
    <col min="10240" max="10240" width="3.42578125" style="602" customWidth="1"/>
    <col min="10241" max="10241" width="19.42578125" style="602" customWidth="1"/>
    <col min="10242" max="10242" width="8.28515625" style="602" customWidth="1"/>
    <col min="10243" max="10243" width="9.140625" style="602" customWidth="1"/>
    <col min="10244" max="10244" width="7.28515625" style="602" customWidth="1"/>
    <col min="10245" max="10245" width="8.42578125" style="602" customWidth="1"/>
    <col min="10246" max="10246" width="8.85546875" style="602" customWidth="1"/>
    <col min="10247" max="10247" width="7.28515625" style="602" customWidth="1"/>
    <col min="10248" max="10248" width="7.85546875" style="602" customWidth="1"/>
    <col min="10249" max="10249" width="8" style="602" customWidth="1"/>
    <col min="10250" max="10250" width="7.42578125" style="602" customWidth="1"/>
    <col min="10251" max="10251" width="8.5703125" style="602" customWidth="1"/>
    <col min="10252" max="10252" width="8.7109375" style="602" customWidth="1"/>
    <col min="10253" max="10253" width="7.28515625" style="602" customWidth="1"/>
    <col min="10254" max="10254" width="8" style="602" customWidth="1"/>
    <col min="10255" max="10255" width="8.7109375" style="602" customWidth="1"/>
    <col min="10256" max="10256" width="6.42578125" style="602" customWidth="1"/>
    <col min="10257" max="10258" width="7.7109375" style="602" customWidth="1"/>
    <col min="10259" max="10259" width="7.140625" style="602" customWidth="1"/>
    <col min="10260" max="10260" width="8.140625" style="602" customWidth="1"/>
    <col min="10261" max="10261" width="8.42578125" style="602" customWidth="1"/>
    <col min="10262" max="10262" width="7.42578125" style="602" customWidth="1"/>
    <col min="10263" max="10263" width="8" style="602" customWidth="1"/>
    <col min="10264" max="10264" width="7.7109375" style="602" customWidth="1"/>
    <col min="10265" max="10265" width="6.42578125" style="602" customWidth="1"/>
    <col min="10266" max="10267" width="8" style="602" customWidth="1"/>
    <col min="10268" max="10268" width="7.7109375" style="602" customWidth="1"/>
    <col min="10269" max="10269" width="9.42578125" style="602" bestFit="1" customWidth="1"/>
    <col min="10270" max="10270" width="9" style="602"/>
    <col min="10271" max="10272" width="9.7109375" style="602" bestFit="1" customWidth="1"/>
    <col min="10273" max="10273" width="8.5703125" style="602" bestFit="1" customWidth="1"/>
    <col min="10274" max="10495" width="9" style="602"/>
    <col min="10496" max="10496" width="3.42578125" style="602" customWidth="1"/>
    <col min="10497" max="10497" width="19.42578125" style="602" customWidth="1"/>
    <col min="10498" max="10498" width="8.28515625" style="602" customWidth="1"/>
    <col min="10499" max="10499" width="9.140625" style="602" customWidth="1"/>
    <col min="10500" max="10500" width="7.28515625" style="602" customWidth="1"/>
    <col min="10501" max="10501" width="8.42578125" style="602" customWidth="1"/>
    <col min="10502" max="10502" width="8.85546875" style="602" customWidth="1"/>
    <col min="10503" max="10503" width="7.28515625" style="602" customWidth="1"/>
    <col min="10504" max="10504" width="7.85546875" style="602" customWidth="1"/>
    <col min="10505" max="10505" width="8" style="602" customWidth="1"/>
    <col min="10506" max="10506" width="7.42578125" style="602" customWidth="1"/>
    <col min="10507" max="10507" width="8.5703125" style="602" customWidth="1"/>
    <col min="10508" max="10508" width="8.7109375" style="602" customWidth="1"/>
    <col min="10509" max="10509" width="7.28515625" style="602" customWidth="1"/>
    <col min="10510" max="10510" width="8" style="602" customWidth="1"/>
    <col min="10511" max="10511" width="8.7109375" style="602" customWidth="1"/>
    <col min="10512" max="10512" width="6.42578125" style="602" customWidth="1"/>
    <col min="10513" max="10514" width="7.7109375" style="602" customWidth="1"/>
    <col min="10515" max="10515" width="7.140625" style="602" customWidth="1"/>
    <col min="10516" max="10516" width="8.140625" style="602" customWidth="1"/>
    <col min="10517" max="10517" width="8.42578125" style="602" customWidth="1"/>
    <col min="10518" max="10518" width="7.42578125" style="602" customWidth="1"/>
    <col min="10519" max="10519" width="8" style="602" customWidth="1"/>
    <col min="10520" max="10520" width="7.7109375" style="602" customWidth="1"/>
    <col min="10521" max="10521" width="6.42578125" style="602" customWidth="1"/>
    <col min="10522" max="10523" width="8" style="602" customWidth="1"/>
    <col min="10524" max="10524" width="7.7109375" style="602" customWidth="1"/>
    <col min="10525" max="10525" width="9.42578125" style="602" bestFit="1" customWidth="1"/>
    <col min="10526" max="10526" width="9" style="602"/>
    <col min="10527" max="10528" width="9.7109375" style="602" bestFit="1" customWidth="1"/>
    <col min="10529" max="10529" width="8.5703125" style="602" bestFit="1" customWidth="1"/>
    <col min="10530" max="10751" width="9" style="602"/>
    <col min="10752" max="10752" width="3.42578125" style="602" customWidth="1"/>
    <col min="10753" max="10753" width="19.42578125" style="602" customWidth="1"/>
    <col min="10754" max="10754" width="8.28515625" style="602" customWidth="1"/>
    <col min="10755" max="10755" width="9.140625" style="602" customWidth="1"/>
    <col min="10756" max="10756" width="7.28515625" style="602" customWidth="1"/>
    <col min="10757" max="10757" width="8.42578125" style="602" customWidth="1"/>
    <col min="10758" max="10758" width="8.85546875" style="602" customWidth="1"/>
    <col min="10759" max="10759" width="7.28515625" style="602" customWidth="1"/>
    <col min="10760" max="10760" width="7.85546875" style="602" customWidth="1"/>
    <col min="10761" max="10761" width="8" style="602" customWidth="1"/>
    <col min="10762" max="10762" width="7.42578125" style="602" customWidth="1"/>
    <col min="10763" max="10763" width="8.5703125" style="602" customWidth="1"/>
    <col min="10764" max="10764" width="8.7109375" style="602" customWidth="1"/>
    <col min="10765" max="10765" width="7.28515625" style="602" customWidth="1"/>
    <col min="10766" max="10766" width="8" style="602" customWidth="1"/>
    <col min="10767" max="10767" width="8.7109375" style="602" customWidth="1"/>
    <col min="10768" max="10768" width="6.42578125" style="602" customWidth="1"/>
    <col min="10769" max="10770" width="7.7109375" style="602" customWidth="1"/>
    <col min="10771" max="10771" width="7.140625" style="602" customWidth="1"/>
    <col min="10772" max="10772" width="8.140625" style="602" customWidth="1"/>
    <col min="10773" max="10773" width="8.42578125" style="602" customWidth="1"/>
    <col min="10774" max="10774" width="7.42578125" style="602" customWidth="1"/>
    <col min="10775" max="10775" width="8" style="602" customWidth="1"/>
    <col min="10776" max="10776" width="7.7109375" style="602" customWidth="1"/>
    <col min="10777" max="10777" width="6.42578125" style="602" customWidth="1"/>
    <col min="10778" max="10779" width="8" style="602" customWidth="1"/>
    <col min="10780" max="10780" width="7.7109375" style="602" customWidth="1"/>
    <col min="10781" max="10781" width="9.42578125" style="602" bestFit="1" customWidth="1"/>
    <col min="10782" max="10782" width="9" style="602"/>
    <col min="10783" max="10784" width="9.7109375" style="602" bestFit="1" customWidth="1"/>
    <col min="10785" max="10785" width="8.5703125" style="602" bestFit="1" customWidth="1"/>
    <col min="10786" max="11007" width="9" style="602"/>
    <col min="11008" max="11008" width="3.42578125" style="602" customWidth="1"/>
    <col min="11009" max="11009" width="19.42578125" style="602" customWidth="1"/>
    <col min="11010" max="11010" width="8.28515625" style="602" customWidth="1"/>
    <col min="11011" max="11011" width="9.140625" style="602" customWidth="1"/>
    <col min="11012" max="11012" width="7.28515625" style="602" customWidth="1"/>
    <col min="11013" max="11013" width="8.42578125" style="602" customWidth="1"/>
    <col min="11014" max="11014" width="8.85546875" style="602" customWidth="1"/>
    <col min="11015" max="11015" width="7.28515625" style="602" customWidth="1"/>
    <col min="11016" max="11016" width="7.85546875" style="602" customWidth="1"/>
    <col min="11017" max="11017" width="8" style="602" customWidth="1"/>
    <col min="11018" max="11018" width="7.42578125" style="602" customWidth="1"/>
    <col min="11019" max="11019" width="8.5703125" style="602" customWidth="1"/>
    <col min="11020" max="11020" width="8.7109375" style="602" customWidth="1"/>
    <col min="11021" max="11021" width="7.28515625" style="602" customWidth="1"/>
    <col min="11022" max="11022" width="8" style="602" customWidth="1"/>
    <col min="11023" max="11023" width="8.7109375" style="602" customWidth="1"/>
    <col min="11024" max="11024" width="6.42578125" style="602" customWidth="1"/>
    <col min="11025" max="11026" width="7.7109375" style="602" customWidth="1"/>
    <col min="11027" max="11027" width="7.140625" style="602" customWidth="1"/>
    <col min="11028" max="11028" width="8.140625" style="602" customWidth="1"/>
    <col min="11029" max="11029" width="8.42578125" style="602" customWidth="1"/>
    <col min="11030" max="11030" width="7.42578125" style="602" customWidth="1"/>
    <col min="11031" max="11031" width="8" style="602" customWidth="1"/>
    <col min="11032" max="11032" width="7.7109375" style="602" customWidth="1"/>
    <col min="11033" max="11033" width="6.42578125" style="602" customWidth="1"/>
    <col min="11034" max="11035" width="8" style="602" customWidth="1"/>
    <col min="11036" max="11036" width="7.7109375" style="602" customWidth="1"/>
    <col min="11037" max="11037" width="9.42578125" style="602" bestFit="1" customWidth="1"/>
    <col min="11038" max="11038" width="9" style="602"/>
    <col min="11039" max="11040" width="9.7109375" style="602" bestFit="1" customWidth="1"/>
    <col min="11041" max="11041" width="8.5703125" style="602" bestFit="1" customWidth="1"/>
    <col min="11042" max="11263" width="9" style="602"/>
    <col min="11264" max="11264" width="3.42578125" style="602" customWidth="1"/>
    <col min="11265" max="11265" width="19.42578125" style="602" customWidth="1"/>
    <col min="11266" max="11266" width="8.28515625" style="602" customWidth="1"/>
    <col min="11267" max="11267" width="9.140625" style="602" customWidth="1"/>
    <col min="11268" max="11268" width="7.28515625" style="602" customWidth="1"/>
    <col min="11269" max="11269" width="8.42578125" style="602" customWidth="1"/>
    <col min="11270" max="11270" width="8.85546875" style="602" customWidth="1"/>
    <col min="11271" max="11271" width="7.28515625" style="602" customWidth="1"/>
    <col min="11272" max="11272" width="7.85546875" style="602" customWidth="1"/>
    <col min="11273" max="11273" width="8" style="602" customWidth="1"/>
    <col min="11274" max="11274" width="7.42578125" style="602" customWidth="1"/>
    <col min="11275" max="11275" width="8.5703125" style="602" customWidth="1"/>
    <col min="11276" max="11276" width="8.7109375" style="602" customWidth="1"/>
    <col min="11277" max="11277" width="7.28515625" style="602" customWidth="1"/>
    <col min="11278" max="11278" width="8" style="602" customWidth="1"/>
    <col min="11279" max="11279" width="8.7109375" style="602" customWidth="1"/>
    <col min="11280" max="11280" width="6.42578125" style="602" customWidth="1"/>
    <col min="11281" max="11282" width="7.7109375" style="602" customWidth="1"/>
    <col min="11283" max="11283" width="7.140625" style="602" customWidth="1"/>
    <col min="11284" max="11284" width="8.140625" style="602" customWidth="1"/>
    <col min="11285" max="11285" width="8.42578125" style="602" customWidth="1"/>
    <col min="11286" max="11286" width="7.42578125" style="602" customWidth="1"/>
    <col min="11287" max="11287" width="8" style="602" customWidth="1"/>
    <col min="11288" max="11288" width="7.7109375" style="602" customWidth="1"/>
    <col min="11289" max="11289" width="6.42578125" style="602" customWidth="1"/>
    <col min="11290" max="11291" width="8" style="602" customWidth="1"/>
    <col min="11292" max="11292" width="7.7109375" style="602" customWidth="1"/>
    <col min="11293" max="11293" width="9.42578125" style="602" bestFit="1" customWidth="1"/>
    <col min="11294" max="11294" width="9" style="602"/>
    <col min="11295" max="11296" width="9.7109375" style="602" bestFit="1" customWidth="1"/>
    <col min="11297" max="11297" width="8.5703125" style="602" bestFit="1" customWidth="1"/>
    <col min="11298" max="11519" width="9" style="602"/>
    <col min="11520" max="11520" width="3.42578125" style="602" customWidth="1"/>
    <col min="11521" max="11521" width="19.42578125" style="602" customWidth="1"/>
    <col min="11522" max="11522" width="8.28515625" style="602" customWidth="1"/>
    <col min="11523" max="11523" width="9.140625" style="602" customWidth="1"/>
    <col min="11524" max="11524" width="7.28515625" style="602" customWidth="1"/>
    <col min="11525" max="11525" width="8.42578125" style="602" customWidth="1"/>
    <col min="11526" max="11526" width="8.85546875" style="602" customWidth="1"/>
    <col min="11527" max="11527" width="7.28515625" style="602" customWidth="1"/>
    <col min="11528" max="11528" width="7.85546875" style="602" customWidth="1"/>
    <col min="11529" max="11529" width="8" style="602" customWidth="1"/>
    <col min="11530" max="11530" width="7.42578125" style="602" customWidth="1"/>
    <col min="11531" max="11531" width="8.5703125" style="602" customWidth="1"/>
    <col min="11532" max="11532" width="8.7109375" style="602" customWidth="1"/>
    <col min="11533" max="11533" width="7.28515625" style="602" customWidth="1"/>
    <col min="11534" max="11534" width="8" style="602" customWidth="1"/>
    <col min="11535" max="11535" width="8.7109375" style="602" customWidth="1"/>
    <col min="11536" max="11536" width="6.42578125" style="602" customWidth="1"/>
    <col min="11537" max="11538" width="7.7109375" style="602" customWidth="1"/>
    <col min="11539" max="11539" width="7.140625" style="602" customWidth="1"/>
    <col min="11540" max="11540" width="8.140625" style="602" customWidth="1"/>
    <col min="11541" max="11541" width="8.42578125" style="602" customWidth="1"/>
    <col min="11542" max="11542" width="7.42578125" style="602" customWidth="1"/>
    <col min="11543" max="11543" width="8" style="602" customWidth="1"/>
    <col min="11544" max="11544" width="7.7109375" style="602" customWidth="1"/>
    <col min="11545" max="11545" width="6.42578125" style="602" customWidth="1"/>
    <col min="11546" max="11547" width="8" style="602" customWidth="1"/>
    <col min="11548" max="11548" width="7.7109375" style="602" customWidth="1"/>
    <col min="11549" max="11549" width="9.42578125" style="602" bestFit="1" customWidth="1"/>
    <col min="11550" max="11550" width="9" style="602"/>
    <col min="11551" max="11552" width="9.7109375" style="602" bestFit="1" customWidth="1"/>
    <col min="11553" max="11553" width="8.5703125" style="602" bestFit="1" customWidth="1"/>
    <col min="11554" max="11775" width="9" style="602"/>
    <col min="11776" max="11776" width="3.42578125" style="602" customWidth="1"/>
    <col min="11777" max="11777" width="19.42578125" style="602" customWidth="1"/>
    <col min="11778" max="11778" width="8.28515625" style="602" customWidth="1"/>
    <col min="11779" max="11779" width="9.140625" style="602" customWidth="1"/>
    <col min="11780" max="11780" width="7.28515625" style="602" customWidth="1"/>
    <col min="11781" max="11781" width="8.42578125" style="602" customWidth="1"/>
    <col min="11782" max="11782" width="8.85546875" style="602" customWidth="1"/>
    <col min="11783" max="11783" width="7.28515625" style="602" customWidth="1"/>
    <col min="11784" max="11784" width="7.85546875" style="602" customWidth="1"/>
    <col min="11785" max="11785" width="8" style="602" customWidth="1"/>
    <col min="11786" max="11786" width="7.42578125" style="602" customWidth="1"/>
    <col min="11787" max="11787" width="8.5703125" style="602" customWidth="1"/>
    <col min="11788" max="11788" width="8.7109375" style="602" customWidth="1"/>
    <col min="11789" max="11789" width="7.28515625" style="602" customWidth="1"/>
    <col min="11790" max="11790" width="8" style="602" customWidth="1"/>
    <col min="11791" max="11791" width="8.7109375" style="602" customWidth="1"/>
    <col min="11792" max="11792" width="6.42578125" style="602" customWidth="1"/>
    <col min="11793" max="11794" width="7.7109375" style="602" customWidth="1"/>
    <col min="11795" max="11795" width="7.140625" style="602" customWidth="1"/>
    <col min="11796" max="11796" width="8.140625" style="602" customWidth="1"/>
    <col min="11797" max="11797" width="8.42578125" style="602" customWidth="1"/>
    <col min="11798" max="11798" width="7.42578125" style="602" customWidth="1"/>
    <col min="11799" max="11799" width="8" style="602" customWidth="1"/>
    <col min="11800" max="11800" width="7.7109375" style="602" customWidth="1"/>
    <col min="11801" max="11801" width="6.42578125" style="602" customWidth="1"/>
    <col min="11802" max="11803" width="8" style="602" customWidth="1"/>
    <col min="11804" max="11804" width="7.7109375" style="602" customWidth="1"/>
    <col min="11805" max="11805" width="9.42578125" style="602" bestFit="1" customWidth="1"/>
    <col min="11806" max="11806" width="9" style="602"/>
    <col min="11807" max="11808" width="9.7109375" style="602" bestFit="1" customWidth="1"/>
    <col min="11809" max="11809" width="8.5703125" style="602" bestFit="1" customWidth="1"/>
    <col min="11810" max="12031" width="9" style="602"/>
    <col min="12032" max="12032" width="3.42578125" style="602" customWidth="1"/>
    <col min="12033" max="12033" width="19.42578125" style="602" customWidth="1"/>
    <col min="12034" max="12034" width="8.28515625" style="602" customWidth="1"/>
    <col min="12035" max="12035" width="9.140625" style="602" customWidth="1"/>
    <col min="12036" max="12036" width="7.28515625" style="602" customWidth="1"/>
    <col min="12037" max="12037" width="8.42578125" style="602" customWidth="1"/>
    <col min="12038" max="12038" width="8.85546875" style="602" customWidth="1"/>
    <col min="12039" max="12039" width="7.28515625" style="602" customWidth="1"/>
    <col min="12040" max="12040" width="7.85546875" style="602" customWidth="1"/>
    <col min="12041" max="12041" width="8" style="602" customWidth="1"/>
    <col min="12042" max="12042" width="7.42578125" style="602" customWidth="1"/>
    <col min="12043" max="12043" width="8.5703125" style="602" customWidth="1"/>
    <col min="12044" max="12044" width="8.7109375" style="602" customWidth="1"/>
    <col min="12045" max="12045" width="7.28515625" style="602" customWidth="1"/>
    <col min="12046" max="12046" width="8" style="602" customWidth="1"/>
    <col min="12047" max="12047" width="8.7109375" style="602" customWidth="1"/>
    <col min="12048" max="12048" width="6.42578125" style="602" customWidth="1"/>
    <col min="12049" max="12050" width="7.7109375" style="602" customWidth="1"/>
    <col min="12051" max="12051" width="7.140625" style="602" customWidth="1"/>
    <col min="12052" max="12052" width="8.140625" style="602" customWidth="1"/>
    <col min="12053" max="12053" width="8.42578125" style="602" customWidth="1"/>
    <col min="12054" max="12054" width="7.42578125" style="602" customWidth="1"/>
    <col min="12055" max="12055" width="8" style="602" customWidth="1"/>
    <col min="12056" max="12056" width="7.7109375" style="602" customWidth="1"/>
    <col min="12057" max="12057" width="6.42578125" style="602" customWidth="1"/>
    <col min="12058" max="12059" width="8" style="602" customWidth="1"/>
    <col min="12060" max="12060" width="7.7109375" style="602" customWidth="1"/>
    <col min="12061" max="12061" width="9.42578125" style="602" bestFit="1" customWidth="1"/>
    <col min="12062" max="12062" width="9" style="602"/>
    <col min="12063" max="12064" width="9.7109375" style="602" bestFit="1" customWidth="1"/>
    <col min="12065" max="12065" width="8.5703125" style="602" bestFit="1" customWidth="1"/>
    <col min="12066" max="12287" width="9" style="602"/>
    <col min="12288" max="12288" width="3.42578125" style="602" customWidth="1"/>
    <col min="12289" max="12289" width="19.42578125" style="602" customWidth="1"/>
    <col min="12290" max="12290" width="8.28515625" style="602" customWidth="1"/>
    <col min="12291" max="12291" width="9.140625" style="602" customWidth="1"/>
    <col min="12292" max="12292" width="7.28515625" style="602" customWidth="1"/>
    <col min="12293" max="12293" width="8.42578125" style="602" customWidth="1"/>
    <col min="12294" max="12294" width="8.85546875" style="602" customWidth="1"/>
    <col min="12295" max="12295" width="7.28515625" style="602" customWidth="1"/>
    <col min="12296" max="12296" width="7.85546875" style="602" customWidth="1"/>
    <col min="12297" max="12297" width="8" style="602" customWidth="1"/>
    <col min="12298" max="12298" width="7.42578125" style="602" customWidth="1"/>
    <col min="12299" max="12299" width="8.5703125" style="602" customWidth="1"/>
    <col min="12300" max="12300" width="8.7109375" style="602" customWidth="1"/>
    <col min="12301" max="12301" width="7.28515625" style="602" customWidth="1"/>
    <col min="12302" max="12302" width="8" style="602" customWidth="1"/>
    <col min="12303" max="12303" width="8.7109375" style="602" customWidth="1"/>
    <col min="12304" max="12304" width="6.42578125" style="602" customWidth="1"/>
    <col min="12305" max="12306" width="7.7109375" style="602" customWidth="1"/>
    <col min="12307" max="12307" width="7.140625" style="602" customWidth="1"/>
    <col min="12308" max="12308" width="8.140625" style="602" customWidth="1"/>
    <col min="12309" max="12309" width="8.42578125" style="602" customWidth="1"/>
    <col min="12310" max="12310" width="7.42578125" style="602" customWidth="1"/>
    <col min="12311" max="12311" width="8" style="602" customWidth="1"/>
    <col min="12312" max="12312" width="7.7109375" style="602" customWidth="1"/>
    <col min="12313" max="12313" width="6.42578125" style="602" customWidth="1"/>
    <col min="12314" max="12315" width="8" style="602" customWidth="1"/>
    <col min="12316" max="12316" width="7.7109375" style="602" customWidth="1"/>
    <col min="12317" max="12317" width="9.42578125" style="602" bestFit="1" customWidth="1"/>
    <col min="12318" max="12318" width="9" style="602"/>
    <col min="12319" max="12320" width="9.7109375" style="602" bestFit="1" customWidth="1"/>
    <col min="12321" max="12321" width="8.5703125" style="602" bestFit="1" customWidth="1"/>
    <col min="12322" max="12543" width="9" style="602"/>
    <col min="12544" max="12544" width="3.42578125" style="602" customWidth="1"/>
    <col min="12545" max="12545" width="19.42578125" style="602" customWidth="1"/>
    <col min="12546" max="12546" width="8.28515625" style="602" customWidth="1"/>
    <col min="12547" max="12547" width="9.140625" style="602" customWidth="1"/>
    <col min="12548" max="12548" width="7.28515625" style="602" customWidth="1"/>
    <col min="12549" max="12549" width="8.42578125" style="602" customWidth="1"/>
    <col min="12550" max="12550" width="8.85546875" style="602" customWidth="1"/>
    <col min="12551" max="12551" width="7.28515625" style="602" customWidth="1"/>
    <col min="12552" max="12552" width="7.85546875" style="602" customWidth="1"/>
    <col min="12553" max="12553" width="8" style="602" customWidth="1"/>
    <col min="12554" max="12554" width="7.42578125" style="602" customWidth="1"/>
    <col min="12555" max="12555" width="8.5703125" style="602" customWidth="1"/>
    <col min="12556" max="12556" width="8.7109375" style="602" customWidth="1"/>
    <col min="12557" max="12557" width="7.28515625" style="602" customWidth="1"/>
    <col min="12558" max="12558" width="8" style="602" customWidth="1"/>
    <col min="12559" max="12559" width="8.7109375" style="602" customWidth="1"/>
    <col min="12560" max="12560" width="6.42578125" style="602" customWidth="1"/>
    <col min="12561" max="12562" width="7.7109375" style="602" customWidth="1"/>
    <col min="12563" max="12563" width="7.140625" style="602" customWidth="1"/>
    <col min="12564" max="12564" width="8.140625" style="602" customWidth="1"/>
    <col min="12565" max="12565" width="8.42578125" style="602" customWidth="1"/>
    <col min="12566" max="12566" width="7.42578125" style="602" customWidth="1"/>
    <col min="12567" max="12567" width="8" style="602" customWidth="1"/>
    <col min="12568" max="12568" width="7.7109375" style="602" customWidth="1"/>
    <col min="12569" max="12569" width="6.42578125" style="602" customWidth="1"/>
    <col min="12570" max="12571" width="8" style="602" customWidth="1"/>
    <col min="12572" max="12572" width="7.7109375" style="602" customWidth="1"/>
    <col min="12573" max="12573" width="9.42578125" style="602" bestFit="1" customWidth="1"/>
    <col min="12574" max="12574" width="9" style="602"/>
    <col min="12575" max="12576" width="9.7109375" style="602" bestFit="1" customWidth="1"/>
    <col min="12577" max="12577" width="8.5703125" style="602" bestFit="1" customWidth="1"/>
    <col min="12578" max="12799" width="9" style="602"/>
    <col min="12800" max="12800" width="3.42578125" style="602" customWidth="1"/>
    <col min="12801" max="12801" width="19.42578125" style="602" customWidth="1"/>
    <col min="12802" max="12802" width="8.28515625" style="602" customWidth="1"/>
    <col min="12803" max="12803" width="9.140625" style="602" customWidth="1"/>
    <col min="12804" max="12804" width="7.28515625" style="602" customWidth="1"/>
    <col min="12805" max="12805" width="8.42578125" style="602" customWidth="1"/>
    <col min="12806" max="12806" width="8.85546875" style="602" customWidth="1"/>
    <col min="12807" max="12807" width="7.28515625" style="602" customWidth="1"/>
    <col min="12808" max="12808" width="7.85546875" style="602" customWidth="1"/>
    <col min="12809" max="12809" width="8" style="602" customWidth="1"/>
    <col min="12810" max="12810" width="7.42578125" style="602" customWidth="1"/>
    <col min="12811" max="12811" width="8.5703125" style="602" customWidth="1"/>
    <col min="12812" max="12812" width="8.7109375" style="602" customWidth="1"/>
    <col min="12813" max="12813" width="7.28515625" style="602" customWidth="1"/>
    <col min="12814" max="12814" width="8" style="602" customWidth="1"/>
    <col min="12815" max="12815" width="8.7109375" style="602" customWidth="1"/>
    <col min="12816" max="12816" width="6.42578125" style="602" customWidth="1"/>
    <col min="12817" max="12818" width="7.7109375" style="602" customWidth="1"/>
    <col min="12819" max="12819" width="7.140625" style="602" customWidth="1"/>
    <col min="12820" max="12820" width="8.140625" style="602" customWidth="1"/>
    <col min="12821" max="12821" width="8.42578125" style="602" customWidth="1"/>
    <col min="12822" max="12822" width="7.42578125" style="602" customWidth="1"/>
    <col min="12823" max="12823" width="8" style="602" customWidth="1"/>
    <col min="12824" max="12824" width="7.7109375" style="602" customWidth="1"/>
    <col min="12825" max="12825" width="6.42578125" style="602" customWidth="1"/>
    <col min="12826" max="12827" width="8" style="602" customWidth="1"/>
    <col min="12828" max="12828" width="7.7109375" style="602" customWidth="1"/>
    <col min="12829" max="12829" width="9.42578125" style="602" bestFit="1" customWidth="1"/>
    <col min="12830" max="12830" width="9" style="602"/>
    <col min="12831" max="12832" width="9.7109375" style="602" bestFit="1" customWidth="1"/>
    <col min="12833" max="12833" width="8.5703125" style="602" bestFit="1" customWidth="1"/>
    <col min="12834" max="13055" width="9" style="602"/>
    <col min="13056" max="13056" width="3.42578125" style="602" customWidth="1"/>
    <col min="13057" max="13057" width="19.42578125" style="602" customWidth="1"/>
    <col min="13058" max="13058" width="8.28515625" style="602" customWidth="1"/>
    <col min="13059" max="13059" width="9.140625" style="602" customWidth="1"/>
    <col min="13060" max="13060" width="7.28515625" style="602" customWidth="1"/>
    <col min="13061" max="13061" width="8.42578125" style="602" customWidth="1"/>
    <col min="13062" max="13062" width="8.85546875" style="602" customWidth="1"/>
    <col min="13063" max="13063" width="7.28515625" style="602" customWidth="1"/>
    <col min="13064" max="13064" width="7.85546875" style="602" customWidth="1"/>
    <col min="13065" max="13065" width="8" style="602" customWidth="1"/>
    <col min="13066" max="13066" width="7.42578125" style="602" customWidth="1"/>
    <col min="13067" max="13067" width="8.5703125" style="602" customWidth="1"/>
    <col min="13068" max="13068" width="8.7109375" style="602" customWidth="1"/>
    <col min="13069" max="13069" width="7.28515625" style="602" customWidth="1"/>
    <col min="13070" max="13070" width="8" style="602" customWidth="1"/>
    <col min="13071" max="13071" width="8.7109375" style="602" customWidth="1"/>
    <col min="13072" max="13072" width="6.42578125" style="602" customWidth="1"/>
    <col min="13073" max="13074" width="7.7109375" style="602" customWidth="1"/>
    <col min="13075" max="13075" width="7.140625" style="602" customWidth="1"/>
    <col min="13076" max="13076" width="8.140625" style="602" customWidth="1"/>
    <col min="13077" max="13077" width="8.42578125" style="602" customWidth="1"/>
    <col min="13078" max="13078" width="7.42578125" style="602" customWidth="1"/>
    <col min="13079" max="13079" width="8" style="602" customWidth="1"/>
    <col min="13080" max="13080" width="7.7109375" style="602" customWidth="1"/>
    <col min="13081" max="13081" width="6.42578125" style="602" customWidth="1"/>
    <col min="13082" max="13083" width="8" style="602" customWidth="1"/>
    <col min="13084" max="13084" width="7.7109375" style="602" customWidth="1"/>
    <col min="13085" max="13085" width="9.42578125" style="602" bestFit="1" customWidth="1"/>
    <col min="13086" max="13086" width="9" style="602"/>
    <col min="13087" max="13088" width="9.7109375" style="602" bestFit="1" customWidth="1"/>
    <col min="13089" max="13089" width="8.5703125" style="602" bestFit="1" customWidth="1"/>
    <col min="13090" max="13311" width="9" style="602"/>
    <col min="13312" max="13312" width="3.42578125" style="602" customWidth="1"/>
    <col min="13313" max="13313" width="19.42578125" style="602" customWidth="1"/>
    <col min="13314" max="13314" width="8.28515625" style="602" customWidth="1"/>
    <col min="13315" max="13315" width="9.140625" style="602" customWidth="1"/>
    <col min="13316" max="13316" width="7.28515625" style="602" customWidth="1"/>
    <col min="13317" max="13317" width="8.42578125" style="602" customWidth="1"/>
    <col min="13318" max="13318" width="8.85546875" style="602" customWidth="1"/>
    <col min="13319" max="13319" width="7.28515625" style="602" customWidth="1"/>
    <col min="13320" max="13320" width="7.85546875" style="602" customWidth="1"/>
    <col min="13321" max="13321" width="8" style="602" customWidth="1"/>
    <col min="13322" max="13322" width="7.42578125" style="602" customWidth="1"/>
    <col min="13323" max="13323" width="8.5703125" style="602" customWidth="1"/>
    <col min="13324" max="13324" width="8.7109375" style="602" customWidth="1"/>
    <col min="13325" max="13325" width="7.28515625" style="602" customWidth="1"/>
    <col min="13326" max="13326" width="8" style="602" customWidth="1"/>
    <col min="13327" max="13327" width="8.7109375" style="602" customWidth="1"/>
    <col min="13328" max="13328" width="6.42578125" style="602" customWidth="1"/>
    <col min="13329" max="13330" width="7.7109375" style="602" customWidth="1"/>
    <col min="13331" max="13331" width="7.140625" style="602" customWidth="1"/>
    <col min="13332" max="13332" width="8.140625" style="602" customWidth="1"/>
    <col min="13333" max="13333" width="8.42578125" style="602" customWidth="1"/>
    <col min="13334" max="13334" width="7.42578125" style="602" customWidth="1"/>
    <col min="13335" max="13335" width="8" style="602" customWidth="1"/>
    <col min="13336" max="13336" width="7.7109375" style="602" customWidth="1"/>
    <col min="13337" max="13337" width="6.42578125" style="602" customWidth="1"/>
    <col min="13338" max="13339" width="8" style="602" customWidth="1"/>
    <col min="13340" max="13340" width="7.7109375" style="602" customWidth="1"/>
    <col min="13341" max="13341" width="9.42578125" style="602" bestFit="1" customWidth="1"/>
    <col min="13342" max="13342" width="9" style="602"/>
    <col min="13343" max="13344" width="9.7109375" style="602" bestFit="1" customWidth="1"/>
    <col min="13345" max="13345" width="8.5703125" style="602" bestFit="1" customWidth="1"/>
    <col min="13346" max="13567" width="9" style="602"/>
    <col min="13568" max="13568" width="3.42578125" style="602" customWidth="1"/>
    <col min="13569" max="13569" width="19.42578125" style="602" customWidth="1"/>
    <col min="13570" max="13570" width="8.28515625" style="602" customWidth="1"/>
    <col min="13571" max="13571" width="9.140625" style="602" customWidth="1"/>
    <col min="13572" max="13572" width="7.28515625" style="602" customWidth="1"/>
    <col min="13573" max="13573" width="8.42578125" style="602" customWidth="1"/>
    <col min="13574" max="13574" width="8.85546875" style="602" customWidth="1"/>
    <col min="13575" max="13575" width="7.28515625" style="602" customWidth="1"/>
    <col min="13576" max="13576" width="7.85546875" style="602" customWidth="1"/>
    <col min="13577" max="13577" width="8" style="602" customWidth="1"/>
    <col min="13578" max="13578" width="7.42578125" style="602" customWidth="1"/>
    <col min="13579" max="13579" width="8.5703125" style="602" customWidth="1"/>
    <col min="13580" max="13580" width="8.7109375" style="602" customWidth="1"/>
    <col min="13581" max="13581" width="7.28515625" style="602" customWidth="1"/>
    <col min="13582" max="13582" width="8" style="602" customWidth="1"/>
    <col min="13583" max="13583" width="8.7109375" style="602" customWidth="1"/>
    <col min="13584" max="13584" width="6.42578125" style="602" customWidth="1"/>
    <col min="13585" max="13586" width="7.7109375" style="602" customWidth="1"/>
    <col min="13587" max="13587" width="7.140625" style="602" customWidth="1"/>
    <col min="13588" max="13588" width="8.140625" style="602" customWidth="1"/>
    <col min="13589" max="13589" width="8.42578125" style="602" customWidth="1"/>
    <col min="13590" max="13590" width="7.42578125" style="602" customWidth="1"/>
    <col min="13591" max="13591" width="8" style="602" customWidth="1"/>
    <col min="13592" max="13592" width="7.7109375" style="602" customWidth="1"/>
    <col min="13593" max="13593" width="6.42578125" style="602" customWidth="1"/>
    <col min="13594" max="13595" width="8" style="602" customWidth="1"/>
    <col min="13596" max="13596" width="7.7109375" style="602" customWidth="1"/>
    <col min="13597" max="13597" width="9.42578125" style="602" bestFit="1" customWidth="1"/>
    <col min="13598" max="13598" width="9" style="602"/>
    <col min="13599" max="13600" width="9.7109375" style="602" bestFit="1" customWidth="1"/>
    <col min="13601" max="13601" width="8.5703125" style="602" bestFit="1" customWidth="1"/>
    <col min="13602" max="13823" width="9" style="602"/>
    <col min="13824" max="13824" width="3.42578125" style="602" customWidth="1"/>
    <col min="13825" max="13825" width="19.42578125" style="602" customWidth="1"/>
    <col min="13826" max="13826" width="8.28515625" style="602" customWidth="1"/>
    <col min="13827" max="13827" width="9.140625" style="602" customWidth="1"/>
    <col min="13828" max="13828" width="7.28515625" style="602" customWidth="1"/>
    <col min="13829" max="13829" width="8.42578125" style="602" customWidth="1"/>
    <col min="13830" max="13830" width="8.85546875" style="602" customWidth="1"/>
    <col min="13831" max="13831" width="7.28515625" style="602" customWidth="1"/>
    <col min="13832" max="13832" width="7.85546875" style="602" customWidth="1"/>
    <col min="13833" max="13833" width="8" style="602" customWidth="1"/>
    <col min="13834" max="13834" width="7.42578125" style="602" customWidth="1"/>
    <col min="13835" max="13835" width="8.5703125" style="602" customWidth="1"/>
    <col min="13836" max="13836" width="8.7109375" style="602" customWidth="1"/>
    <col min="13837" max="13837" width="7.28515625" style="602" customWidth="1"/>
    <col min="13838" max="13838" width="8" style="602" customWidth="1"/>
    <col min="13839" max="13839" width="8.7109375" style="602" customWidth="1"/>
    <col min="13840" max="13840" width="6.42578125" style="602" customWidth="1"/>
    <col min="13841" max="13842" width="7.7109375" style="602" customWidth="1"/>
    <col min="13843" max="13843" width="7.140625" style="602" customWidth="1"/>
    <col min="13844" max="13844" width="8.140625" style="602" customWidth="1"/>
    <col min="13845" max="13845" width="8.42578125" style="602" customWidth="1"/>
    <col min="13846" max="13846" width="7.42578125" style="602" customWidth="1"/>
    <col min="13847" max="13847" width="8" style="602" customWidth="1"/>
    <col min="13848" max="13848" width="7.7109375" style="602" customWidth="1"/>
    <col min="13849" max="13849" width="6.42578125" style="602" customWidth="1"/>
    <col min="13850" max="13851" width="8" style="602" customWidth="1"/>
    <col min="13852" max="13852" width="7.7109375" style="602" customWidth="1"/>
    <col min="13853" max="13853" width="9.42578125" style="602" bestFit="1" customWidth="1"/>
    <col min="13854" max="13854" width="9" style="602"/>
    <col min="13855" max="13856" width="9.7109375" style="602" bestFit="1" customWidth="1"/>
    <col min="13857" max="13857" width="8.5703125" style="602" bestFit="1" customWidth="1"/>
    <col min="13858" max="14079" width="9" style="602"/>
    <col min="14080" max="14080" width="3.42578125" style="602" customWidth="1"/>
    <col min="14081" max="14081" width="19.42578125" style="602" customWidth="1"/>
    <col min="14082" max="14082" width="8.28515625" style="602" customWidth="1"/>
    <col min="14083" max="14083" width="9.140625" style="602" customWidth="1"/>
    <col min="14084" max="14084" width="7.28515625" style="602" customWidth="1"/>
    <col min="14085" max="14085" width="8.42578125" style="602" customWidth="1"/>
    <col min="14086" max="14086" width="8.85546875" style="602" customWidth="1"/>
    <col min="14087" max="14087" width="7.28515625" style="602" customWidth="1"/>
    <col min="14088" max="14088" width="7.85546875" style="602" customWidth="1"/>
    <col min="14089" max="14089" width="8" style="602" customWidth="1"/>
    <col min="14090" max="14090" width="7.42578125" style="602" customWidth="1"/>
    <col min="14091" max="14091" width="8.5703125" style="602" customWidth="1"/>
    <col min="14092" max="14092" width="8.7109375" style="602" customWidth="1"/>
    <col min="14093" max="14093" width="7.28515625" style="602" customWidth="1"/>
    <col min="14094" max="14094" width="8" style="602" customWidth="1"/>
    <col min="14095" max="14095" width="8.7109375" style="602" customWidth="1"/>
    <col min="14096" max="14096" width="6.42578125" style="602" customWidth="1"/>
    <col min="14097" max="14098" width="7.7109375" style="602" customWidth="1"/>
    <col min="14099" max="14099" width="7.140625" style="602" customWidth="1"/>
    <col min="14100" max="14100" width="8.140625" style="602" customWidth="1"/>
    <col min="14101" max="14101" width="8.42578125" style="602" customWidth="1"/>
    <col min="14102" max="14102" width="7.42578125" style="602" customWidth="1"/>
    <col min="14103" max="14103" width="8" style="602" customWidth="1"/>
    <col min="14104" max="14104" width="7.7109375" style="602" customWidth="1"/>
    <col min="14105" max="14105" width="6.42578125" style="602" customWidth="1"/>
    <col min="14106" max="14107" width="8" style="602" customWidth="1"/>
    <col min="14108" max="14108" width="7.7109375" style="602" customWidth="1"/>
    <col min="14109" max="14109" width="9.42578125" style="602" bestFit="1" customWidth="1"/>
    <col min="14110" max="14110" width="9" style="602"/>
    <col min="14111" max="14112" width="9.7109375" style="602" bestFit="1" customWidth="1"/>
    <col min="14113" max="14113" width="8.5703125" style="602" bestFit="1" customWidth="1"/>
    <col min="14114" max="14335" width="9" style="602"/>
    <col min="14336" max="14336" width="3.42578125" style="602" customWidth="1"/>
    <col min="14337" max="14337" width="19.42578125" style="602" customWidth="1"/>
    <col min="14338" max="14338" width="8.28515625" style="602" customWidth="1"/>
    <col min="14339" max="14339" width="9.140625" style="602" customWidth="1"/>
    <col min="14340" max="14340" width="7.28515625" style="602" customWidth="1"/>
    <col min="14341" max="14341" width="8.42578125" style="602" customWidth="1"/>
    <col min="14342" max="14342" width="8.85546875" style="602" customWidth="1"/>
    <col min="14343" max="14343" width="7.28515625" style="602" customWidth="1"/>
    <col min="14344" max="14344" width="7.85546875" style="602" customWidth="1"/>
    <col min="14345" max="14345" width="8" style="602" customWidth="1"/>
    <col min="14346" max="14346" width="7.42578125" style="602" customWidth="1"/>
    <col min="14347" max="14347" width="8.5703125" style="602" customWidth="1"/>
    <col min="14348" max="14348" width="8.7109375" style="602" customWidth="1"/>
    <col min="14349" max="14349" width="7.28515625" style="602" customWidth="1"/>
    <col min="14350" max="14350" width="8" style="602" customWidth="1"/>
    <col min="14351" max="14351" width="8.7109375" style="602" customWidth="1"/>
    <col min="14352" max="14352" width="6.42578125" style="602" customWidth="1"/>
    <col min="14353" max="14354" width="7.7109375" style="602" customWidth="1"/>
    <col min="14355" max="14355" width="7.140625" style="602" customWidth="1"/>
    <col min="14356" max="14356" width="8.140625" style="602" customWidth="1"/>
    <col min="14357" max="14357" width="8.42578125" style="602" customWidth="1"/>
    <col min="14358" max="14358" width="7.42578125" style="602" customWidth="1"/>
    <col min="14359" max="14359" width="8" style="602" customWidth="1"/>
    <col min="14360" max="14360" width="7.7109375" style="602" customWidth="1"/>
    <col min="14361" max="14361" width="6.42578125" style="602" customWidth="1"/>
    <col min="14362" max="14363" width="8" style="602" customWidth="1"/>
    <col min="14364" max="14364" width="7.7109375" style="602" customWidth="1"/>
    <col min="14365" max="14365" width="9.42578125" style="602" bestFit="1" customWidth="1"/>
    <col min="14366" max="14366" width="9" style="602"/>
    <col min="14367" max="14368" width="9.7109375" style="602" bestFit="1" customWidth="1"/>
    <col min="14369" max="14369" width="8.5703125" style="602" bestFit="1" customWidth="1"/>
    <col min="14370" max="14591" width="9" style="602"/>
    <col min="14592" max="14592" width="3.42578125" style="602" customWidth="1"/>
    <col min="14593" max="14593" width="19.42578125" style="602" customWidth="1"/>
    <col min="14594" max="14594" width="8.28515625" style="602" customWidth="1"/>
    <col min="14595" max="14595" width="9.140625" style="602" customWidth="1"/>
    <col min="14596" max="14596" width="7.28515625" style="602" customWidth="1"/>
    <col min="14597" max="14597" width="8.42578125" style="602" customWidth="1"/>
    <col min="14598" max="14598" width="8.85546875" style="602" customWidth="1"/>
    <col min="14599" max="14599" width="7.28515625" style="602" customWidth="1"/>
    <col min="14600" max="14600" width="7.85546875" style="602" customWidth="1"/>
    <col min="14601" max="14601" width="8" style="602" customWidth="1"/>
    <col min="14602" max="14602" width="7.42578125" style="602" customWidth="1"/>
    <col min="14603" max="14603" width="8.5703125" style="602" customWidth="1"/>
    <col min="14604" max="14604" width="8.7109375" style="602" customWidth="1"/>
    <col min="14605" max="14605" width="7.28515625" style="602" customWidth="1"/>
    <col min="14606" max="14606" width="8" style="602" customWidth="1"/>
    <col min="14607" max="14607" width="8.7109375" style="602" customWidth="1"/>
    <col min="14608" max="14608" width="6.42578125" style="602" customWidth="1"/>
    <col min="14609" max="14610" width="7.7109375" style="602" customWidth="1"/>
    <col min="14611" max="14611" width="7.140625" style="602" customWidth="1"/>
    <col min="14612" max="14612" width="8.140625" style="602" customWidth="1"/>
    <col min="14613" max="14613" width="8.42578125" style="602" customWidth="1"/>
    <col min="14614" max="14614" width="7.42578125" style="602" customWidth="1"/>
    <col min="14615" max="14615" width="8" style="602" customWidth="1"/>
    <col min="14616" max="14616" width="7.7109375" style="602" customWidth="1"/>
    <col min="14617" max="14617" width="6.42578125" style="602" customWidth="1"/>
    <col min="14618" max="14619" width="8" style="602" customWidth="1"/>
    <col min="14620" max="14620" width="7.7109375" style="602" customWidth="1"/>
    <col min="14621" max="14621" width="9.42578125" style="602" bestFit="1" customWidth="1"/>
    <col min="14622" max="14622" width="9" style="602"/>
    <col min="14623" max="14624" width="9.7109375" style="602" bestFit="1" customWidth="1"/>
    <col min="14625" max="14625" width="8.5703125" style="602" bestFit="1" customWidth="1"/>
    <col min="14626" max="14847" width="9" style="602"/>
    <col min="14848" max="14848" width="3.42578125" style="602" customWidth="1"/>
    <col min="14849" max="14849" width="19.42578125" style="602" customWidth="1"/>
    <col min="14850" max="14850" width="8.28515625" style="602" customWidth="1"/>
    <col min="14851" max="14851" width="9.140625" style="602" customWidth="1"/>
    <col min="14852" max="14852" width="7.28515625" style="602" customWidth="1"/>
    <col min="14853" max="14853" width="8.42578125" style="602" customWidth="1"/>
    <col min="14854" max="14854" width="8.85546875" style="602" customWidth="1"/>
    <col min="14855" max="14855" width="7.28515625" style="602" customWidth="1"/>
    <col min="14856" max="14856" width="7.85546875" style="602" customWidth="1"/>
    <col min="14857" max="14857" width="8" style="602" customWidth="1"/>
    <col min="14858" max="14858" width="7.42578125" style="602" customWidth="1"/>
    <col min="14859" max="14859" width="8.5703125" style="602" customWidth="1"/>
    <col min="14860" max="14860" width="8.7109375" style="602" customWidth="1"/>
    <col min="14861" max="14861" width="7.28515625" style="602" customWidth="1"/>
    <col min="14862" max="14862" width="8" style="602" customWidth="1"/>
    <col min="14863" max="14863" width="8.7109375" style="602" customWidth="1"/>
    <col min="14864" max="14864" width="6.42578125" style="602" customWidth="1"/>
    <col min="14865" max="14866" width="7.7109375" style="602" customWidth="1"/>
    <col min="14867" max="14867" width="7.140625" style="602" customWidth="1"/>
    <col min="14868" max="14868" width="8.140625" style="602" customWidth="1"/>
    <col min="14869" max="14869" width="8.42578125" style="602" customWidth="1"/>
    <col min="14870" max="14870" width="7.42578125" style="602" customWidth="1"/>
    <col min="14871" max="14871" width="8" style="602" customWidth="1"/>
    <col min="14872" max="14872" width="7.7109375" style="602" customWidth="1"/>
    <col min="14873" max="14873" width="6.42578125" style="602" customWidth="1"/>
    <col min="14874" max="14875" width="8" style="602" customWidth="1"/>
    <col min="14876" max="14876" width="7.7109375" style="602" customWidth="1"/>
    <col min="14877" max="14877" width="9.42578125" style="602" bestFit="1" customWidth="1"/>
    <col min="14878" max="14878" width="9" style="602"/>
    <col min="14879" max="14880" width="9.7109375" style="602" bestFit="1" customWidth="1"/>
    <col min="14881" max="14881" width="8.5703125" style="602" bestFit="1" customWidth="1"/>
    <col min="14882" max="15103" width="9" style="602"/>
    <col min="15104" max="15104" width="3.42578125" style="602" customWidth="1"/>
    <col min="15105" max="15105" width="19.42578125" style="602" customWidth="1"/>
    <col min="15106" max="15106" width="8.28515625" style="602" customWidth="1"/>
    <col min="15107" max="15107" width="9.140625" style="602" customWidth="1"/>
    <col min="15108" max="15108" width="7.28515625" style="602" customWidth="1"/>
    <col min="15109" max="15109" width="8.42578125" style="602" customWidth="1"/>
    <col min="15110" max="15110" width="8.85546875" style="602" customWidth="1"/>
    <col min="15111" max="15111" width="7.28515625" style="602" customWidth="1"/>
    <col min="15112" max="15112" width="7.85546875" style="602" customWidth="1"/>
    <col min="15113" max="15113" width="8" style="602" customWidth="1"/>
    <col min="15114" max="15114" width="7.42578125" style="602" customWidth="1"/>
    <col min="15115" max="15115" width="8.5703125" style="602" customWidth="1"/>
    <col min="15116" max="15116" width="8.7109375" style="602" customWidth="1"/>
    <col min="15117" max="15117" width="7.28515625" style="602" customWidth="1"/>
    <col min="15118" max="15118" width="8" style="602" customWidth="1"/>
    <col min="15119" max="15119" width="8.7109375" style="602" customWidth="1"/>
    <col min="15120" max="15120" width="6.42578125" style="602" customWidth="1"/>
    <col min="15121" max="15122" width="7.7109375" style="602" customWidth="1"/>
    <col min="15123" max="15123" width="7.140625" style="602" customWidth="1"/>
    <col min="15124" max="15124" width="8.140625" style="602" customWidth="1"/>
    <col min="15125" max="15125" width="8.42578125" style="602" customWidth="1"/>
    <col min="15126" max="15126" width="7.42578125" style="602" customWidth="1"/>
    <col min="15127" max="15127" width="8" style="602" customWidth="1"/>
    <col min="15128" max="15128" width="7.7109375" style="602" customWidth="1"/>
    <col min="15129" max="15129" width="6.42578125" style="602" customWidth="1"/>
    <col min="15130" max="15131" width="8" style="602" customWidth="1"/>
    <col min="15132" max="15132" width="7.7109375" style="602" customWidth="1"/>
    <col min="15133" max="15133" width="9.42578125" style="602" bestFit="1" customWidth="1"/>
    <col min="15134" max="15134" width="9" style="602"/>
    <col min="15135" max="15136" width="9.7109375" style="602" bestFit="1" customWidth="1"/>
    <col min="15137" max="15137" width="8.5703125" style="602" bestFit="1" customWidth="1"/>
    <col min="15138" max="15359" width="9" style="602"/>
    <col min="15360" max="15360" width="3.42578125" style="602" customWidth="1"/>
    <col min="15361" max="15361" width="19.42578125" style="602" customWidth="1"/>
    <col min="15362" max="15362" width="8.28515625" style="602" customWidth="1"/>
    <col min="15363" max="15363" width="9.140625" style="602" customWidth="1"/>
    <col min="15364" max="15364" width="7.28515625" style="602" customWidth="1"/>
    <col min="15365" max="15365" width="8.42578125" style="602" customWidth="1"/>
    <col min="15366" max="15366" width="8.85546875" style="602" customWidth="1"/>
    <col min="15367" max="15367" width="7.28515625" style="602" customWidth="1"/>
    <col min="15368" max="15368" width="7.85546875" style="602" customWidth="1"/>
    <col min="15369" max="15369" width="8" style="602" customWidth="1"/>
    <col min="15370" max="15370" width="7.42578125" style="602" customWidth="1"/>
    <col min="15371" max="15371" width="8.5703125" style="602" customWidth="1"/>
    <col min="15372" max="15372" width="8.7109375" style="602" customWidth="1"/>
    <col min="15373" max="15373" width="7.28515625" style="602" customWidth="1"/>
    <col min="15374" max="15374" width="8" style="602" customWidth="1"/>
    <col min="15375" max="15375" width="8.7109375" style="602" customWidth="1"/>
    <col min="15376" max="15376" width="6.42578125" style="602" customWidth="1"/>
    <col min="15377" max="15378" width="7.7109375" style="602" customWidth="1"/>
    <col min="15379" max="15379" width="7.140625" style="602" customWidth="1"/>
    <col min="15380" max="15380" width="8.140625" style="602" customWidth="1"/>
    <col min="15381" max="15381" width="8.42578125" style="602" customWidth="1"/>
    <col min="15382" max="15382" width="7.42578125" style="602" customWidth="1"/>
    <col min="15383" max="15383" width="8" style="602" customWidth="1"/>
    <col min="15384" max="15384" width="7.7109375" style="602" customWidth="1"/>
    <col min="15385" max="15385" width="6.42578125" style="602" customWidth="1"/>
    <col min="15386" max="15387" width="8" style="602" customWidth="1"/>
    <col min="15388" max="15388" width="7.7109375" style="602" customWidth="1"/>
    <col min="15389" max="15389" width="9.42578125" style="602" bestFit="1" customWidth="1"/>
    <col min="15390" max="15390" width="9" style="602"/>
    <col min="15391" max="15392" width="9.7109375" style="602" bestFit="1" customWidth="1"/>
    <col min="15393" max="15393" width="8.5703125" style="602" bestFit="1" customWidth="1"/>
    <col min="15394" max="15615" width="9" style="602"/>
    <col min="15616" max="15616" width="3.42578125" style="602" customWidth="1"/>
    <col min="15617" max="15617" width="19.42578125" style="602" customWidth="1"/>
    <col min="15618" max="15618" width="8.28515625" style="602" customWidth="1"/>
    <col min="15619" max="15619" width="9.140625" style="602" customWidth="1"/>
    <col min="15620" max="15620" width="7.28515625" style="602" customWidth="1"/>
    <col min="15621" max="15621" width="8.42578125" style="602" customWidth="1"/>
    <col min="15622" max="15622" width="8.85546875" style="602" customWidth="1"/>
    <col min="15623" max="15623" width="7.28515625" style="602" customWidth="1"/>
    <col min="15624" max="15624" width="7.85546875" style="602" customWidth="1"/>
    <col min="15625" max="15625" width="8" style="602" customWidth="1"/>
    <col min="15626" max="15626" width="7.42578125" style="602" customWidth="1"/>
    <col min="15627" max="15627" width="8.5703125" style="602" customWidth="1"/>
    <col min="15628" max="15628" width="8.7109375" style="602" customWidth="1"/>
    <col min="15629" max="15629" width="7.28515625" style="602" customWidth="1"/>
    <col min="15630" max="15630" width="8" style="602" customWidth="1"/>
    <col min="15631" max="15631" width="8.7109375" style="602" customWidth="1"/>
    <col min="15632" max="15632" width="6.42578125" style="602" customWidth="1"/>
    <col min="15633" max="15634" width="7.7109375" style="602" customWidth="1"/>
    <col min="15635" max="15635" width="7.140625" style="602" customWidth="1"/>
    <col min="15636" max="15636" width="8.140625" style="602" customWidth="1"/>
    <col min="15637" max="15637" width="8.42578125" style="602" customWidth="1"/>
    <col min="15638" max="15638" width="7.42578125" style="602" customWidth="1"/>
    <col min="15639" max="15639" width="8" style="602" customWidth="1"/>
    <col min="15640" max="15640" width="7.7109375" style="602" customWidth="1"/>
    <col min="15641" max="15641" width="6.42578125" style="602" customWidth="1"/>
    <col min="15642" max="15643" width="8" style="602" customWidth="1"/>
    <col min="15644" max="15644" width="7.7109375" style="602" customWidth="1"/>
    <col min="15645" max="15645" width="9.42578125" style="602" bestFit="1" customWidth="1"/>
    <col min="15646" max="15646" width="9" style="602"/>
    <col min="15647" max="15648" width="9.7109375" style="602" bestFit="1" customWidth="1"/>
    <col min="15649" max="15649" width="8.5703125" style="602" bestFit="1" customWidth="1"/>
    <col min="15650" max="15871" width="9" style="602"/>
    <col min="15872" max="15872" width="3.42578125" style="602" customWidth="1"/>
    <col min="15873" max="15873" width="19.42578125" style="602" customWidth="1"/>
    <col min="15874" max="15874" width="8.28515625" style="602" customWidth="1"/>
    <col min="15875" max="15875" width="9.140625" style="602" customWidth="1"/>
    <col min="15876" max="15876" width="7.28515625" style="602" customWidth="1"/>
    <col min="15877" max="15877" width="8.42578125" style="602" customWidth="1"/>
    <col min="15878" max="15878" width="8.85546875" style="602" customWidth="1"/>
    <col min="15879" max="15879" width="7.28515625" style="602" customWidth="1"/>
    <col min="15880" max="15880" width="7.85546875" style="602" customWidth="1"/>
    <col min="15881" max="15881" width="8" style="602" customWidth="1"/>
    <col min="15882" max="15882" width="7.42578125" style="602" customWidth="1"/>
    <col min="15883" max="15883" width="8.5703125" style="602" customWidth="1"/>
    <col min="15884" max="15884" width="8.7109375" style="602" customWidth="1"/>
    <col min="15885" max="15885" width="7.28515625" style="602" customWidth="1"/>
    <col min="15886" max="15886" width="8" style="602" customWidth="1"/>
    <col min="15887" max="15887" width="8.7109375" style="602" customWidth="1"/>
    <col min="15888" max="15888" width="6.42578125" style="602" customWidth="1"/>
    <col min="15889" max="15890" width="7.7109375" style="602" customWidth="1"/>
    <col min="15891" max="15891" width="7.140625" style="602" customWidth="1"/>
    <col min="15892" max="15892" width="8.140625" style="602" customWidth="1"/>
    <col min="15893" max="15893" width="8.42578125" style="602" customWidth="1"/>
    <col min="15894" max="15894" width="7.42578125" style="602" customWidth="1"/>
    <col min="15895" max="15895" width="8" style="602" customWidth="1"/>
    <col min="15896" max="15896" width="7.7109375" style="602" customWidth="1"/>
    <col min="15897" max="15897" width="6.42578125" style="602" customWidth="1"/>
    <col min="15898" max="15899" width="8" style="602" customWidth="1"/>
    <col min="15900" max="15900" width="7.7109375" style="602" customWidth="1"/>
    <col min="15901" max="15901" width="9.42578125" style="602" bestFit="1" customWidth="1"/>
    <col min="15902" max="15902" width="9" style="602"/>
    <col min="15903" max="15904" width="9.7109375" style="602" bestFit="1" customWidth="1"/>
    <col min="15905" max="15905" width="8.5703125" style="602" bestFit="1" customWidth="1"/>
    <col min="15906" max="16127" width="9" style="602"/>
    <col min="16128" max="16128" width="3.42578125" style="602" customWidth="1"/>
    <col min="16129" max="16129" width="19.42578125" style="602" customWidth="1"/>
    <col min="16130" max="16130" width="8.28515625" style="602" customWidth="1"/>
    <col min="16131" max="16131" width="9.140625" style="602" customWidth="1"/>
    <col min="16132" max="16132" width="7.28515625" style="602" customWidth="1"/>
    <col min="16133" max="16133" width="8.42578125" style="602" customWidth="1"/>
    <col min="16134" max="16134" width="8.85546875" style="602" customWidth="1"/>
    <col min="16135" max="16135" width="7.28515625" style="602" customWidth="1"/>
    <col min="16136" max="16136" width="7.85546875" style="602" customWidth="1"/>
    <col min="16137" max="16137" width="8" style="602" customWidth="1"/>
    <col min="16138" max="16138" width="7.42578125" style="602" customWidth="1"/>
    <col min="16139" max="16139" width="8.5703125" style="602" customWidth="1"/>
    <col min="16140" max="16140" width="8.7109375" style="602" customWidth="1"/>
    <col min="16141" max="16141" width="7.28515625" style="602" customWidth="1"/>
    <col min="16142" max="16142" width="8" style="602" customWidth="1"/>
    <col min="16143" max="16143" width="8.7109375" style="602" customWidth="1"/>
    <col min="16144" max="16144" width="6.42578125" style="602" customWidth="1"/>
    <col min="16145" max="16146" width="7.7109375" style="602" customWidth="1"/>
    <col min="16147" max="16147" width="7.140625" style="602" customWidth="1"/>
    <col min="16148" max="16148" width="8.140625" style="602" customWidth="1"/>
    <col min="16149" max="16149" width="8.42578125" style="602" customWidth="1"/>
    <col min="16150" max="16150" width="7.42578125" style="602" customWidth="1"/>
    <col min="16151" max="16151" width="8" style="602" customWidth="1"/>
    <col min="16152" max="16152" width="7.7109375" style="602" customWidth="1"/>
    <col min="16153" max="16153" width="6.42578125" style="602" customWidth="1"/>
    <col min="16154" max="16155" width="8" style="602" customWidth="1"/>
    <col min="16156" max="16156" width="7.7109375" style="602" customWidth="1"/>
    <col min="16157" max="16157" width="9.42578125" style="602" bestFit="1" customWidth="1"/>
    <col min="16158" max="16158" width="9" style="602"/>
    <col min="16159" max="16160" width="9.7109375" style="602" bestFit="1" customWidth="1"/>
    <col min="16161" max="16161" width="8.5703125" style="602" bestFit="1" customWidth="1"/>
    <col min="16162" max="16384" width="9" style="602"/>
  </cols>
  <sheetData>
    <row r="1" spans="1:32" s="579" customFormat="1" ht="20.25" customHeight="1" x14ac:dyDescent="0.25">
      <c r="A1" s="823" t="s">
        <v>417</v>
      </c>
      <c r="B1" s="823"/>
      <c r="C1" s="823"/>
      <c r="D1" s="823"/>
      <c r="E1" s="823"/>
      <c r="F1" s="823"/>
      <c r="G1" s="823"/>
      <c r="H1" s="823"/>
      <c r="I1" s="823"/>
      <c r="J1" s="823"/>
      <c r="K1" s="823"/>
      <c r="L1" s="823"/>
      <c r="M1" s="823"/>
      <c r="N1" s="823"/>
      <c r="O1" s="823"/>
      <c r="P1" s="823"/>
      <c r="Q1" s="823"/>
      <c r="R1" s="823"/>
      <c r="S1" s="823"/>
      <c r="T1" s="823"/>
      <c r="U1" s="823"/>
      <c r="V1" s="823"/>
      <c r="W1" s="823"/>
      <c r="X1" s="823"/>
      <c r="Y1" s="823"/>
      <c r="Z1" s="823"/>
      <c r="AA1" s="823"/>
      <c r="AB1" s="823"/>
      <c r="AC1" s="823"/>
      <c r="AD1" s="823"/>
    </row>
    <row r="2" spans="1:32" s="579" customFormat="1" ht="20.25" customHeight="1" x14ac:dyDescent="0.25">
      <c r="A2" s="824" t="s">
        <v>279</v>
      </c>
      <c r="B2" s="824"/>
      <c r="C2" s="824"/>
      <c r="D2" s="824"/>
      <c r="E2" s="824"/>
      <c r="F2" s="824"/>
      <c r="G2" s="824"/>
      <c r="H2" s="824"/>
      <c r="I2" s="824"/>
      <c r="J2" s="824"/>
      <c r="K2" s="824"/>
      <c r="L2" s="824"/>
      <c r="M2" s="824"/>
      <c r="N2" s="824"/>
      <c r="O2" s="824"/>
      <c r="P2" s="824"/>
      <c r="Q2" s="824"/>
      <c r="R2" s="824"/>
      <c r="S2" s="824"/>
      <c r="T2" s="824"/>
      <c r="U2" s="824"/>
      <c r="V2" s="824"/>
      <c r="W2" s="824"/>
      <c r="X2" s="824"/>
      <c r="Y2" s="824"/>
      <c r="Z2" s="824"/>
      <c r="AA2" s="824"/>
      <c r="AB2" s="824"/>
      <c r="AC2" s="824"/>
      <c r="AD2" s="580"/>
    </row>
    <row r="3" spans="1:32" s="579" customFormat="1" ht="15.75" x14ac:dyDescent="0.25">
      <c r="A3" s="806" t="s">
        <v>897</v>
      </c>
      <c r="B3" s="806"/>
      <c r="C3" s="806"/>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C3" s="806"/>
      <c r="AD3" s="580"/>
    </row>
    <row r="4" spans="1:32" s="579" customFormat="1" ht="15.75" x14ac:dyDescent="0.25">
      <c r="A4" s="580"/>
      <c r="F4" s="825" t="s">
        <v>152</v>
      </c>
      <c r="G4" s="825"/>
      <c r="H4" s="825"/>
      <c r="I4" s="825"/>
      <c r="J4" s="825"/>
      <c r="K4" s="825"/>
      <c r="L4" s="825"/>
      <c r="M4" s="825"/>
      <c r="N4" s="825"/>
      <c r="O4" s="825"/>
      <c r="P4" s="825"/>
      <c r="Q4" s="825"/>
      <c r="R4" s="825"/>
      <c r="S4" s="825"/>
      <c r="T4" s="825"/>
      <c r="U4" s="825"/>
      <c r="V4" s="825"/>
      <c r="W4" s="825"/>
      <c r="X4" s="825"/>
      <c r="Y4" s="825"/>
      <c r="Z4" s="825"/>
      <c r="AA4" s="825"/>
      <c r="AB4" s="825"/>
      <c r="AC4" s="825"/>
      <c r="AD4" s="580"/>
    </row>
    <row r="5" spans="1:32" s="581" customFormat="1" ht="12.75" x14ac:dyDescent="0.25">
      <c r="A5" s="816" t="s">
        <v>280</v>
      </c>
      <c r="B5" s="816" t="s">
        <v>59</v>
      </c>
      <c r="C5" s="826" t="s">
        <v>281</v>
      </c>
      <c r="D5" s="827"/>
      <c r="E5" s="827"/>
      <c r="F5" s="827"/>
      <c r="G5" s="827"/>
      <c r="H5" s="827"/>
      <c r="I5" s="827"/>
      <c r="J5" s="827"/>
      <c r="K5" s="828"/>
      <c r="L5" s="821" t="s">
        <v>391</v>
      </c>
      <c r="M5" s="819"/>
      <c r="N5" s="819"/>
      <c r="O5" s="819"/>
      <c r="P5" s="819"/>
      <c r="Q5" s="819"/>
      <c r="R5" s="819"/>
      <c r="S5" s="819"/>
      <c r="T5" s="820"/>
      <c r="U5" s="816" t="s">
        <v>373</v>
      </c>
      <c r="V5" s="816"/>
      <c r="W5" s="816"/>
      <c r="X5" s="816"/>
      <c r="Y5" s="816"/>
      <c r="Z5" s="816"/>
      <c r="AA5" s="816"/>
      <c r="AB5" s="816"/>
      <c r="AC5" s="816"/>
      <c r="AD5" s="822" t="s">
        <v>390</v>
      </c>
    </row>
    <row r="6" spans="1:32" s="581" customFormat="1" ht="12.75" x14ac:dyDescent="0.25">
      <c r="A6" s="816"/>
      <c r="B6" s="816"/>
      <c r="C6" s="817" t="s">
        <v>234</v>
      </c>
      <c r="D6" s="817" t="s">
        <v>189</v>
      </c>
      <c r="E6" s="817" t="s">
        <v>243</v>
      </c>
      <c r="F6" s="821" t="s">
        <v>282</v>
      </c>
      <c r="G6" s="819"/>
      <c r="H6" s="820"/>
      <c r="I6" s="821" t="s">
        <v>283</v>
      </c>
      <c r="J6" s="819"/>
      <c r="K6" s="820"/>
      <c r="L6" s="817" t="s">
        <v>234</v>
      </c>
      <c r="M6" s="817" t="s">
        <v>189</v>
      </c>
      <c r="N6" s="817" t="s">
        <v>243</v>
      </c>
      <c r="O6" s="819" t="s">
        <v>284</v>
      </c>
      <c r="P6" s="819"/>
      <c r="Q6" s="820"/>
      <c r="R6" s="821" t="s">
        <v>285</v>
      </c>
      <c r="S6" s="819"/>
      <c r="T6" s="820"/>
      <c r="U6" s="816" t="s">
        <v>234</v>
      </c>
      <c r="V6" s="816" t="s">
        <v>189</v>
      </c>
      <c r="W6" s="816" t="s">
        <v>243</v>
      </c>
      <c r="X6" s="816" t="s">
        <v>284</v>
      </c>
      <c r="Y6" s="816"/>
      <c r="Z6" s="816"/>
      <c r="AA6" s="816" t="s">
        <v>285</v>
      </c>
      <c r="AB6" s="816"/>
      <c r="AC6" s="816"/>
      <c r="AD6" s="822"/>
    </row>
    <row r="7" spans="1:32" s="583" customFormat="1" ht="12.75" x14ac:dyDescent="0.25">
      <c r="A7" s="816"/>
      <c r="B7" s="816"/>
      <c r="C7" s="818"/>
      <c r="D7" s="818"/>
      <c r="E7" s="818"/>
      <c r="F7" s="582" t="s">
        <v>234</v>
      </c>
      <c r="G7" s="582" t="s">
        <v>189</v>
      </c>
      <c r="H7" s="582" t="s">
        <v>243</v>
      </c>
      <c r="I7" s="582" t="s">
        <v>234</v>
      </c>
      <c r="J7" s="582" t="s">
        <v>189</v>
      </c>
      <c r="K7" s="582" t="s">
        <v>243</v>
      </c>
      <c r="L7" s="818"/>
      <c r="M7" s="818"/>
      <c r="N7" s="818"/>
      <c r="O7" s="582" t="s">
        <v>234</v>
      </c>
      <c r="P7" s="582" t="s">
        <v>189</v>
      </c>
      <c r="Q7" s="582" t="s">
        <v>243</v>
      </c>
      <c r="R7" s="582" t="s">
        <v>234</v>
      </c>
      <c r="S7" s="582" t="s">
        <v>189</v>
      </c>
      <c r="T7" s="582" t="s">
        <v>243</v>
      </c>
      <c r="U7" s="816"/>
      <c r="V7" s="816"/>
      <c r="W7" s="816"/>
      <c r="X7" s="582" t="s">
        <v>234</v>
      </c>
      <c r="Y7" s="582" t="s">
        <v>189</v>
      </c>
      <c r="Z7" s="582" t="s">
        <v>243</v>
      </c>
      <c r="AA7" s="582" t="s">
        <v>234</v>
      </c>
      <c r="AB7" s="582" t="s">
        <v>189</v>
      </c>
      <c r="AC7" s="582" t="s">
        <v>243</v>
      </c>
      <c r="AD7" s="822"/>
    </row>
    <row r="8" spans="1:32" s="584" customFormat="1" ht="12.75" x14ac:dyDescent="0.25">
      <c r="A8" s="98" t="s">
        <v>6</v>
      </c>
      <c r="B8" s="98" t="s">
        <v>7</v>
      </c>
      <c r="C8" s="98">
        <v>1</v>
      </c>
      <c r="D8" s="98">
        <v>2</v>
      </c>
      <c r="E8" s="98">
        <v>3</v>
      </c>
      <c r="F8" s="98">
        <v>4</v>
      </c>
      <c r="G8" s="98">
        <v>5</v>
      </c>
      <c r="H8" s="98">
        <v>6</v>
      </c>
      <c r="I8" s="98">
        <v>7</v>
      </c>
      <c r="J8" s="98">
        <v>8</v>
      </c>
      <c r="K8" s="98">
        <v>9</v>
      </c>
      <c r="L8" s="98">
        <v>10</v>
      </c>
      <c r="M8" s="98">
        <v>11</v>
      </c>
      <c r="N8" s="98">
        <v>12</v>
      </c>
      <c r="O8" s="98">
        <v>13</v>
      </c>
      <c r="P8" s="98">
        <v>14</v>
      </c>
      <c r="Q8" s="98">
        <v>15</v>
      </c>
      <c r="R8" s="98">
        <v>16</v>
      </c>
      <c r="S8" s="98">
        <v>17</v>
      </c>
      <c r="T8" s="98">
        <v>18</v>
      </c>
      <c r="U8" s="98">
        <v>19</v>
      </c>
      <c r="V8" s="98">
        <v>20</v>
      </c>
      <c r="W8" s="98">
        <v>21</v>
      </c>
      <c r="X8" s="98">
        <v>22</v>
      </c>
      <c r="Y8" s="98">
        <v>23</v>
      </c>
      <c r="Z8" s="98">
        <v>24</v>
      </c>
      <c r="AA8" s="98">
        <v>25</v>
      </c>
      <c r="AB8" s="98">
        <v>26</v>
      </c>
      <c r="AC8" s="98">
        <v>27</v>
      </c>
      <c r="AD8" s="98">
        <v>28</v>
      </c>
    </row>
    <row r="9" spans="1:32" s="586" customFormat="1" ht="19.5" customHeight="1" x14ac:dyDescent="0.25">
      <c r="A9" s="582"/>
      <c r="B9" s="101" t="s">
        <v>270</v>
      </c>
      <c r="C9" s="585">
        <f t="shared" ref="C9:AC9" si="0">C10+C34+C51</f>
        <v>15369346360</v>
      </c>
      <c r="D9" s="585">
        <f t="shared" si="0"/>
        <v>15015946360</v>
      </c>
      <c r="E9" s="585">
        <f t="shared" si="0"/>
        <v>353400000</v>
      </c>
      <c r="F9" s="585">
        <f t="shared" si="0"/>
        <v>3056346360</v>
      </c>
      <c r="G9" s="585">
        <f t="shared" si="0"/>
        <v>3020946360</v>
      </c>
      <c r="H9" s="585">
        <f t="shared" si="0"/>
        <v>35400000</v>
      </c>
      <c r="I9" s="585">
        <f t="shared" si="0"/>
        <v>12313000000</v>
      </c>
      <c r="J9" s="585">
        <f t="shared" si="0"/>
        <v>11995000000</v>
      </c>
      <c r="K9" s="585">
        <f t="shared" si="0"/>
        <v>318000000</v>
      </c>
      <c r="L9" s="585">
        <f t="shared" si="0"/>
        <v>9481463918</v>
      </c>
      <c r="M9" s="585">
        <f t="shared" si="0"/>
        <v>9260963918</v>
      </c>
      <c r="N9" s="585">
        <f t="shared" si="0"/>
        <v>220500000</v>
      </c>
      <c r="O9" s="585">
        <f t="shared" si="0"/>
        <v>1118450628</v>
      </c>
      <c r="P9" s="585">
        <f t="shared" si="0"/>
        <v>1115050628</v>
      </c>
      <c r="Q9" s="585">
        <f t="shared" si="0"/>
        <v>3400000</v>
      </c>
      <c r="R9" s="585">
        <f t="shared" si="0"/>
        <v>4514620902</v>
      </c>
      <c r="S9" s="585">
        <f t="shared" si="0"/>
        <v>8145913290</v>
      </c>
      <c r="T9" s="585">
        <f t="shared" si="0"/>
        <v>217100000</v>
      </c>
      <c r="U9" s="585">
        <f t="shared" si="0"/>
        <v>14642023842</v>
      </c>
      <c r="V9" s="585">
        <f t="shared" si="0"/>
        <v>14338423842</v>
      </c>
      <c r="W9" s="585">
        <f t="shared" si="0"/>
        <v>303600000</v>
      </c>
      <c r="X9" s="585">
        <f t="shared" si="0"/>
        <v>2747661342</v>
      </c>
      <c r="Y9" s="585">
        <f t="shared" si="0"/>
        <v>2744261342</v>
      </c>
      <c r="Z9" s="585">
        <f t="shared" si="0"/>
        <v>3400000</v>
      </c>
      <c r="AA9" s="585">
        <f t="shared" si="0"/>
        <v>11894362500</v>
      </c>
      <c r="AB9" s="585">
        <f t="shared" si="0"/>
        <v>11594162500</v>
      </c>
      <c r="AC9" s="585">
        <f t="shared" si="0"/>
        <v>300200000</v>
      </c>
      <c r="AD9" s="606">
        <f>U9/C9</f>
        <v>0.95267706895506521</v>
      </c>
      <c r="AF9" s="587">
        <f>F9-X9</f>
        <v>308685018</v>
      </c>
    </row>
    <row r="10" spans="1:32" s="591" customFormat="1" ht="26.25" customHeight="1" x14ac:dyDescent="0.25">
      <c r="A10" s="588" t="s">
        <v>6</v>
      </c>
      <c r="B10" s="589" t="s">
        <v>271</v>
      </c>
      <c r="C10" s="590">
        <f>C14+C16+C19+C24+C26+C29+C11</f>
        <v>3461577568</v>
      </c>
      <c r="D10" s="590">
        <f t="shared" ref="D10:AC10" si="1">D14+D16+D19+D24+D26+D29+D11</f>
        <v>3361177568</v>
      </c>
      <c r="E10" s="590">
        <f t="shared" si="1"/>
        <v>100400000</v>
      </c>
      <c r="F10" s="590">
        <f t="shared" si="1"/>
        <v>141577568</v>
      </c>
      <c r="G10" s="590">
        <f t="shared" si="1"/>
        <v>138177568</v>
      </c>
      <c r="H10" s="590">
        <f t="shared" si="1"/>
        <v>3400000</v>
      </c>
      <c r="I10" s="590">
        <f t="shared" si="1"/>
        <v>3320000000</v>
      </c>
      <c r="J10" s="590">
        <f t="shared" si="1"/>
        <v>3223000000</v>
      </c>
      <c r="K10" s="590">
        <f t="shared" si="1"/>
        <v>97000000</v>
      </c>
      <c r="L10" s="590">
        <f t="shared" si="1"/>
        <v>2538220902</v>
      </c>
      <c r="M10" s="590">
        <f t="shared" si="1"/>
        <v>2460220902</v>
      </c>
      <c r="N10" s="590">
        <f t="shared" si="1"/>
        <v>78000000</v>
      </c>
      <c r="O10" s="590">
        <f t="shared" si="1"/>
        <v>123600000</v>
      </c>
      <c r="P10" s="590">
        <f t="shared" si="1"/>
        <v>120200000</v>
      </c>
      <c r="Q10" s="590">
        <f t="shared" si="1"/>
        <v>3400000</v>
      </c>
      <c r="R10" s="590">
        <f t="shared" si="1"/>
        <v>2414620902</v>
      </c>
      <c r="S10" s="590">
        <f t="shared" si="1"/>
        <v>2340020902</v>
      </c>
      <c r="T10" s="590">
        <f t="shared" si="1"/>
        <v>74600000</v>
      </c>
      <c r="U10" s="590">
        <f t="shared" si="1"/>
        <v>3029362500</v>
      </c>
      <c r="V10" s="590">
        <f t="shared" si="1"/>
        <v>2946762500</v>
      </c>
      <c r="W10" s="590">
        <f t="shared" si="1"/>
        <v>82600000</v>
      </c>
      <c r="X10" s="590">
        <f t="shared" si="1"/>
        <v>123600000</v>
      </c>
      <c r="Y10" s="590">
        <f t="shared" si="1"/>
        <v>120200000</v>
      </c>
      <c r="Z10" s="590">
        <f t="shared" si="1"/>
        <v>3400000</v>
      </c>
      <c r="AA10" s="590">
        <f t="shared" si="1"/>
        <v>2905762500</v>
      </c>
      <c r="AB10" s="590">
        <f t="shared" si="1"/>
        <v>2826562500</v>
      </c>
      <c r="AC10" s="590">
        <f t="shared" si="1"/>
        <v>79200000</v>
      </c>
      <c r="AD10" s="607">
        <f>U10/C10</f>
        <v>0.87513927984871898</v>
      </c>
      <c r="AF10" s="592">
        <f>'BC VĐT 2025'!H11-'BC VĐT 2025'!AI11</f>
        <v>3165801693</v>
      </c>
    </row>
    <row r="11" spans="1:32" s="586" customFormat="1" ht="57" customHeight="1" x14ac:dyDescent="0.25">
      <c r="A11" s="100">
        <v>1</v>
      </c>
      <c r="B11" s="593" t="s">
        <v>286</v>
      </c>
      <c r="C11" s="585">
        <f>C12</f>
        <v>173600000</v>
      </c>
      <c r="D11" s="585">
        <f t="shared" ref="D11:AC12" si="2">D12</f>
        <v>170200000</v>
      </c>
      <c r="E11" s="585">
        <f t="shared" si="2"/>
        <v>3400000</v>
      </c>
      <c r="F11" s="585">
        <f t="shared" si="2"/>
        <v>0</v>
      </c>
      <c r="G11" s="585">
        <f t="shared" si="2"/>
        <v>0</v>
      </c>
      <c r="H11" s="585">
        <f t="shared" si="2"/>
        <v>0</v>
      </c>
      <c r="I11" s="585">
        <f t="shared" si="2"/>
        <v>173600000</v>
      </c>
      <c r="J11" s="585">
        <f t="shared" si="2"/>
        <v>170200000</v>
      </c>
      <c r="K11" s="585">
        <f t="shared" si="2"/>
        <v>3400000</v>
      </c>
      <c r="L11" s="585">
        <f t="shared" si="2"/>
        <v>0</v>
      </c>
      <c r="M11" s="585">
        <f t="shared" si="2"/>
        <v>0</v>
      </c>
      <c r="N11" s="585">
        <f t="shared" si="2"/>
        <v>0</v>
      </c>
      <c r="O11" s="585">
        <f t="shared" si="2"/>
        <v>0</v>
      </c>
      <c r="P11" s="585">
        <f t="shared" si="2"/>
        <v>0</v>
      </c>
      <c r="Q11" s="585">
        <f t="shared" si="2"/>
        <v>0</v>
      </c>
      <c r="R11" s="585">
        <f t="shared" si="2"/>
        <v>0</v>
      </c>
      <c r="S11" s="585">
        <f t="shared" si="2"/>
        <v>0</v>
      </c>
      <c r="T11" s="585">
        <f t="shared" si="2"/>
        <v>0</v>
      </c>
      <c r="U11" s="585">
        <f t="shared" si="2"/>
        <v>173600000</v>
      </c>
      <c r="V11" s="585">
        <f t="shared" si="2"/>
        <v>170200000</v>
      </c>
      <c r="W11" s="585">
        <f t="shared" si="2"/>
        <v>3400000</v>
      </c>
      <c r="X11" s="585">
        <f t="shared" si="2"/>
        <v>0</v>
      </c>
      <c r="Y11" s="585">
        <f t="shared" si="2"/>
        <v>0</v>
      </c>
      <c r="Z11" s="585">
        <f t="shared" si="2"/>
        <v>0</v>
      </c>
      <c r="AA11" s="585">
        <f t="shared" si="2"/>
        <v>173600000</v>
      </c>
      <c r="AB11" s="585">
        <f t="shared" si="2"/>
        <v>170200000</v>
      </c>
      <c r="AC11" s="585">
        <f t="shared" si="2"/>
        <v>3400000</v>
      </c>
      <c r="AD11" s="606">
        <f>U11/C11</f>
        <v>1</v>
      </c>
      <c r="AF11" s="587">
        <f>AF10+AF9</f>
        <v>3474486711</v>
      </c>
    </row>
    <row r="12" spans="1:32" s="595" customFormat="1" ht="61.5" customHeight="1" x14ac:dyDescent="0.25">
      <c r="A12" s="116" t="s">
        <v>287</v>
      </c>
      <c r="B12" s="594" t="s">
        <v>288</v>
      </c>
      <c r="C12" s="130">
        <f>C13</f>
        <v>173600000</v>
      </c>
      <c r="D12" s="130">
        <f t="shared" si="2"/>
        <v>170200000</v>
      </c>
      <c r="E12" s="130">
        <f t="shared" si="2"/>
        <v>3400000</v>
      </c>
      <c r="F12" s="130">
        <f t="shared" si="2"/>
        <v>0</v>
      </c>
      <c r="G12" s="130">
        <f t="shared" si="2"/>
        <v>0</v>
      </c>
      <c r="H12" s="130">
        <f t="shared" si="2"/>
        <v>0</v>
      </c>
      <c r="I12" s="130">
        <f t="shared" si="2"/>
        <v>173600000</v>
      </c>
      <c r="J12" s="130">
        <f t="shared" si="2"/>
        <v>170200000</v>
      </c>
      <c r="K12" s="130">
        <f t="shared" si="2"/>
        <v>3400000</v>
      </c>
      <c r="L12" s="130">
        <f t="shared" si="2"/>
        <v>0</v>
      </c>
      <c r="M12" s="130">
        <f t="shared" si="2"/>
        <v>0</v>
      </c>
      <c r="N12" s="130">
        <f t="shared" si="2"/>
        <v>0</v>
      </c>
      <c r="O12" s="130">
        <f t="shared" si="2"/>
        <v>0</v>
      </c>
      <c r="P12" s="130">
        <f t="shared" si="2"/>
        <v>0</v>
      </c>
      <c r="Q12" s="130">
        <f t="shared" si="2"/>
        <v>0</v>
      </c>
      <c r="R12" s="130">
        <f t="shared" si="2"/>
        <v>0</v>
      </c>
      <c r="S12" s="130">
        <f t="shared" si="2"/>
        <v>0</v>
      </c>
      <c r="T12" s="130">
        <f t="shared" si="2"/>
        <v>0</v>
      </c>
      <c r="U12" s="130">
        <f t="shared" si="2"/>
        <v>173600000</v>
      </c>
      <c r="V12" s="130">
        <f t="shared" si="2"/>
        <v>170200000</v>
      </c>
      <c r="W12" s="130">
        <f t="shared" si="2"/>
        <v>3400000</v>
      </c>
      <c r="X12" s="130">
        <f t="shared" si="2"/>
        <v>0</v>
      </c>
      <c r="Y12" s="130">
        <f t="shared" si="2"/>
        <v>0</v>
      </c>
      <c r="Z12" s="130">
        <f t="shared" si="2"/>
        <v>0</v>
      </c>
      <c r="AA12" s="130">
        <f t="shared" si="2"/>
        <v>173600000</v>
      </c>
      <c r="AB12" s="130">
        <f t="shared" si="2"/>
        <v>170200000</v>
      </c>
      <c r="AC12" s="130">
        <f t="shared" si="2"/>
        <v>3400000</v>
      </c>
      <c r="AD12" s="116"/>
      <c r="AF12" s="595">
        <v>1050000000</v>
      </c>
    </row>
    <row r="13" spans="1:32" s="595" customFormat="1" ht="18" customHeight="1" x14ac:dyDescent="0.25">
      <c r="A13" s="116" t="s">
        <v>74</v>
      </c>
      <c r="B13" s="131" t="s">
        <v>196</v>
      </c>
      <c r="C13" s="130">
        <f t="shared" ref="C13" si="3">D13+E13</f>
        <v>173600000</v>
      </c>
      <c r="D13" s="130">
        <f t="shared" ref="D13:E13" si="4">G13+J13</f>
        <v>170200000</v>
      </c>
      <c r="E13" s="130">
        <f t="shared" si="4"/>
        <v>3400000</v>
      </c>
      <c r="F13" s="130"/>
      <c r="G13" s="130"/>
      <c r="H13" s="130"/>
      <c r="I13" s="596">
        <v>173600000</v>
      </c>
      <c r="J13" s="596">
        <v>170200000</v>
      </c>
      <c r="K13" s="596">
        <v>3400000</v>
      </c>
      <c r="L13" s="130"/>
      <c r="M13" s="130"/>
      <c r="N13" s="130"/>
      <c r="O13" s="130"/>
      <c r="P13" s="130"/>
      <c r="Q13" s="130"/>
      <c r="R13" s="130"/>
      <c r="S13" s="130"/>
      <c r="T13" s="130"/>
      <c r="U13" s="130">
        <f t="shared" ref="U13" si="5">V13+W13</f>
        <v>173600000</v>
      </c>
      <c r="V13" s="130">
        <f t="shared" ref="V13" si="6">Y13+AB13</f>
        <v>170200000</v>
      </c>
      <c r="W13" s="130">
        <f t="shared" ref="W13" si="7">Z13+AC13</f>
        <v>3400000</v>
      </c>
      <c r="X13" s="130"/>
      <c r="Y13" s="130"/>
      <c r="Z13" s="130"/>
      <c r="AA13" s="596">
        <v>173600000</v>
      </c>
      <c r="AB13" s="596">
        <v>170200000</v>
      </c>
      <c r="AC13" s="596">
        <v>3400000</v>
      </c>
      <c r="AD13" s="116"/>
      <c r="AF13" s="597">
        <f>AF12+AF11</f>
        <v>4524486711</v>
      </c>
    </row>
    <row r="14" spans="1:32" s="586" customFormat="1" ht="35.25" customHeight="1" x14ac:dyDescent="0.25">
      <c r="A14" s="100">
        <v>2</v>
      </c>
      <c r="B14" s="598" t="s">
        <v>289</v>
      </c>
      <c r="C14" s="585">
        <f>C15</f>
        <v>2095425000</v>
      </c>
      <c r="D14" s="585">
        <f t="shared" ref="D14:AC14" si="8">D15</f>
        <v>2033425000</v>
      </c>
      <c r="E14" s="585">
        <f t="shared" si="8"/>
        <v>62000000</v>
      </c>
      <c r="F14" s="585">
        <f t="shared" si="8"/>
        <v>0</v>
      </c>
      <c r="G14" s="585">
        <f t="shared" si="8"/>
        <v>0</v>
      </c>
      <c r="H14" s="585">
        <f t="shared" si="8"/>
        <v>0</v>
      </c>
      <c r="I14" s="585">
        <f t="shared" si="8"/>
        <v>2095425000</v>
      </c>
      <c r="J14" s="585">
        <f t="shared" si="8"/>
        <v>2033425000</v>
      </c>
      <c r="K14" s="585">
        <f t="shared" si="8"/>
        <v>62000000</v>
      </c>
      <c r="L14" s="585">
        <f t="shared" si="8"/>
        <v>2095425000</v>
      </c>
      <c r="M14" s="585">
        <f t="shared" si="8"/>
        <v>2033425000</v>
      </c>
      <c r="N14" s="585">
        <f t="shared" si="8"/>
        <v>62000000</v>
      </c>
      <c r="O14" s="585">
        <f t="shared" si="8"/>
        <v>0</v>
      </c>
      <c r="P14" s="585">
        <f t="shared" si="8"/>
        <v>0</v>
      </c>
      <c r="Q14" s="585">
        <f t="shared" si="8"/>
        <v>0</v>
      </c>
      <c r="R14" s="585">
        <f t="shared" si="8"/>
        <v>2095425000</v>
      </c>
      <c r="S14" s="585">
        <f t="shared" si="8"/>
        <v>2033425000</v>
      </c>
      <c r="T14" s="585">
        <f t="shared" si="8"/>
        <v>62000000</v>
      </c>
      <c r="U14" s="585">
        <f t="shared" si="8"/>
        <v>2095425000</v>
      </c>
      <c r="V14" s="585">
        <f t="shared" si="8"/>
        <v>2033425000</v>
      </c>
      <c r="W14" s="585">
        <f t="shared" si="8"/>
        <v>62000000</v>
      </c>
      <c r="X14" s="585">
        <f t="shared" si="8"/>
        <v>0</v>
      </c>
      <c r="Y14" s="585">
        <f t="shared" si="8"/>
        <v>0</v>
      </c>
      <c r="Z14" s="585">
        <f t="shared" si="8"/>
        <v>0</v>
      </c>
      <c r="AA14" s="585">
        <f t="shared" si="8"/>
        <v>2095425000</v>
      </c>
      <c r="AB14" s="585">
        <f t="shared" si="8"/>
        <v>2033425000</v>
      </c>
      <c r="AC14" s="585">
        <f t="shared" si="8"/>
        <v>62000000</v>
      </c>
      <c r="AD14" s="606">
        <f>U14/C14</f>
        <v>1</v>
      </c>
      <c r="AF14" s="587">
        <f>Chi!C28+Chi!C29</f>
        <v>739000000</v>
      </c>
    </row>
    <row r="15" spans="1:32" s="595" customFormat="1" ht="19.5" customHeight="1" x14ac:dyDescent="0.25">
      <c r="A15" s="116" t="s">
        <v>74</v>
      </c>
      <c r="B15" s="131" t="s">
        <v>196</v>
      </c>
      <c r="C15" s="130">
        <f t="shared" ref="C15" si="9">D15+E15</f>
        <v>2095425000</v>
      </c>
      <c r="D15" s="130">
        <f t="shared" ref="D15:E15" si="10">G15+J15</f>
        <v>2033425000</v>
      </c>
      <c r="E15" s="130">
        <f t="shared" si="10"/>
        <v>62000000</v>
      </c>
      <c r="F15" s="130"/>
      <c r="G15" s="130"/>
      <c r="H15" s="130"/>
      <c r="I15" s="130">
        <v>2095425000</v>
      </c>
      <c r="J15" s="130">
        <v>2033425000</v>
      </c>
      <c r="K15" s="130">
        <v>62000000</v>
      </c>
      <c r="L15" s="130">
        <f>M15+N15</f>
        <v>2095425000</v>
      </c>
      <c r="M15" s="130">
        <f>P15+S15</f>
        <v>2033425000</v>
      </c>
      <c r="N15" s="130">
        <f>Q15+T15</f>
        <v>62000000</v>
      </c>
      <c r="O15" s="130"/>
      <c r="P15" s="130"/>
      <c r="Q15" s="130"/>
      <c r="R15" s="130">
        <v>2095425000</v>
      </c>
      <c r="S15" s="130">
        <v>2033425000</v>
      </c>
      <c r="T15" s="130">
        <v>62000000</v>
      </c>
      <c r="U15" s="130">
        <f t="shared" ref="U15" si="11">V15+W15</f>
        <v>2095425000</v>
      </c>
      <c r="V15" s="130">
        <f t="shared" ref="V15" si="12">Y15+AB15</f>
        <v>2033425000</v>
      </c>
      <c r="W15" s="130">
        <f t="shared" ref="W15" si="13">Z15+AC15</f>
        <v>62000000</v>
      </c>
      <c r="X15" s="130"/>
      <c r="Y15" s="130"/>
      <c r="Z15" s="130"/>
      <c r="AA15" s="130">
        <v>2095425000</v>
      </c>
      <c r="AB15" s="130">
        <v>2033425000</v>
      </c>
      <c r="AC15" s="130">
        <v>62000000</v>
      </c>
      <c r="AD15" s="608"/>
    </row>
    <row r="16" spans="1:32" s="586" customFormat="1" ht="24" customHeight="1" x14ac:dyDescent="0.25">
      <c r="A16" s="100">
        <v>3</v>
      </c>
      <c r="B16" s="598" t="s">
        <v>290</v>
      </c>
      <c r="C16" s="585">
        <f>C17</f>
        <v>17977568</v>
      </c>
      <c r="D16" s="585">
        <f t="shared" ref="D16:AC17" si="14">D17</f>
        <v>17977568</v>
      </c>
      <c r="E16" s="585">
        <f t="shared" si="14"/>
        <v>0</v>
      </c>
      <c r="F16" s="585">
        <f t="shared" si="14"/>
        <v>17977568</v>
      </c>
      <c r="G16" s="585">
        <f t="shared" si="14"/>
        <v>17977568</v>
      </c>
      <c r="H16" s="585">
        <f t="shared" si="14"/>
        <v>0</v>
      </c>
      <c r="I16" s="585">
        <f t="shared" si="14"/>
        <v>0</v>
      </c>
      <c r="J16" s="585">
        <f t="shared" si="14"/>
        <v>0</v>
      </c>
      <c r="K16" s="585">
        <f t="shared" si="14"/>
        <v>0</v>
      </c>
      <c r="L16" s="585">
        <f t="shared" si="14"/>
        <v>0</v>
      </c>
      <c r="M16" s="585">
        <f t="shared" si="14"/>
        <v>0</v>
      </c>
      <c r="N16" s="585">
        <f t="shared" si="14"/>
        <v>0</v>
      </c>
      <c r="O16" s="585">
        <f t="shared" si="14"/>
        <v>0</v>
      </c>
      <c r="P16" s="585">
        <f t="shared" si="14"/>
        <v>0</v>
      </c>
      <c r="Q16" s="585">
        <f t="shared" si="14"/>
        <v>0</v>
      </c>
      <c r="R16" s="585">
        <f t="shared" si="14"/>
        <v>0</v>
      </c>
      <c r="S16" s="585">
        <f t="shared" si="14"/>
        <v>0</v>
      </c>
      <c r="T16" s="585">
        <f t="shared" si="14"/>
        <v>0</v>
      </c>
      <c r="U16" s="585">
        <f t="shared" si="14"/>
        <v>0</v>
      </c>
      <c r="V16" s="585">
        <f t="shared" si="14"/>
        <v>0</v>
      </c>
      <c r="W16" s="585">
        <f t="shared" si="14"/>
        <v>0</v>
      </c>
      <c r="X16" s="585">
        <f t="shared" si="14"/>
        <v>0</v>
      </c>
      <c r="Y16" s="585">
        <f t="shared" si="14"/>
        <v>0</v>
      </c>
      <c r="Z16" s="585">
        <f t="shared" si="14"/>
        <v>0</v>
      </c>
      <c r="AA16" s="585">
        <f t="shared" si="14"/>
        <v>0</v>
      </c>
      <c r="AB16" s="585">
        <f t="shared" si="14"/>
        <v>0</v>
      </c>
      <c r="AC16" s="585">
        <f t="shared" si="14"/>
        <v>0</v>
      </c>
      <c r="AD16" s="609"/>
    </row>
    <row r="17" spans="1:30" s="595" customFormat="1" ht="33.75" x14ac:dyDescent="0.25">
      <c r="A17" s="116" t="s">
        <v>287</v>
      </c>
      <c r="B17" s="131" t="s">
        <v>291</v>
      </c>
      <c r="C17" s="130">
        <f>C18</f>
        <v>17977568</v>
      </c>
      <c r="D17" s="130">
        <f t="shared" si="14"/>
        <v>17977568</v>
      </c>
      <c r="E17" s="130">
        <f t="shared" si="14"/>
        <v>0</v>
      </c>
      <c r="F17" s="130">
        <f t="shared" si="14"/>
        <v>17977568</v>
      </c>
      <c r="G17" s="130">
        <f t="shared" si="14"/>
        <v>17977568</v>
      </c>
      <c r="H17" s="130">
        <f t="shared" si="14"/>
        <v>0</v>
      </c>
      <c r="I17" s="130">
        <f t="shared" si="14"/>
        <v>0</v>
      </c>
      <c r="J17" s="130">
        <f t="shared" si="14"/>
        <v>0</v>
      </c>
      <c r="K17" s="130">
        <f t="shared" si="14"/>
        <v>0</v>
      </c>
      <c r="L17" s="130">
        <f t="shared" si="14"/>
        <v>0</v>
      </c>
      <c r="M17" s="130">
        <f t="shared" si="14"/>
        <v>0</v>
      </c>
      <c r="N17" s="130">
        <f t="shared" si="14"/>
        <v>0</v>
      </c>
      <c r="O17" s="130">
        <f t="shared" si="14"/>
        <v>0</v>
      </c>
      <c r="P17" s="130">
        <f t="shared" si="14"/>
        <v>0</v>
      </c>
      <c r="Q17" s="130">
        <f t="shared" si="14"/>
        <v>0</v>
      </c>
      <c r="R17" s="130">
        <f t="shared" si="14"/>
        <v>0</v>
      </c>
      <c r="S17" s="130">
        <f t="shared" si="14"/>
        <v>0</v>
      </c>
      <c r="T17" s="130">
        <f t="shared" si="14"/>
        <v>0</v>
      </c>
      <c r="U17" s="130">
        <f t="shared" si="14"/>
        <v>0</v>
      </c>
      <c r="V17" s="130">
        <f t="shared" si="14"/>
        <v>0</v>
      </c>
      <c r="W17" s="130">
        <f t="shared" si="14"/>
        <v>0</v>
      </c>
      <c r="X17" s="130">
        <f t="shared" si="14"/>
        <v>0</v>
      </c>
      <c r="Y17" s="130">
        <f t="shared" si="14"/>
        <v>0</v>
      </c>
      <c r="Z17" s="130">
        <f t="shared" si="14"/>
        <v>0</v>
      </c>
      <c r="AA17" s="130">
        <f t="shared" si="14"/>
        <v>0</v>
      </c>
      <c r="AB17" s="130">
        <f t="shared" si="14"/>
        <v>0</v>
      </c>
      <c r="AC17" s="130">
        <f t="shared" si="14"/>
        <v>0</v>
      </c>
      <c r="AD17" s="610"/>
    </row>
    <row r="18" spans="1:30" s="595" customFormat="1" ht="18.75" customHeight="1" x14ac:dyDescent="0.25">
      <c r="A18" s="116" t="s">
        <v>74</v>
      </c>
      <c r="B18" s="131" t="s">
        <v>196</v>
      </c>
      <c r="C18" s="130">
        <f t="shared" ref="C18" si="15">D18+E18</f>
        <v>17977568</v>
      </c>
      <c r="D18" s="130">
        <f t="shared" ref="D18:E18" si="16">G18+J18</f>
        <v>17977568</v>
      </c>
      <c r="E18" s="130">
        <f t="shared" si="16"/>
        <v>0</v>
      </c>
      <c r="F18" s="130">
        <f>G18+H18</f>
        <v>17977568</v>
      </c>
      <c r="G18" s="130">
        <v>17977568</v>
      </c>
      <c r="H18" s="130">
        <v>0</v>
      </c>
      <c r="I18" s="130"/>
      <c r="J18" s="130"/>
      <c r="K18" s="130"/>
      <c r="L18" s="130"/>
      <c r="M18" s="130"/>
      <c r="N18" s="130"/>
      <c r="O18" s="130"/>
      <c r="P18" s="130"/>
      <c r="Q18" s="130"/>
      <c r="R18" s="130"/>
      <c r="S18" s="130"/>
      <c r="T18" s="130"/>
      <c r="U18" s="130"/>
      <c r="V18" s="130"/>
      <c r="W18" s="130"/>
      <c r="X18" s="130"/>
      <c r="Y18" s="130"/>
      <c r="Z18" s="130"/>
      <c r="AA18" s="130"/>
      <c r="AB18" s="130"/>
      <c r="AC18" s="130"/>
      <c r="AD18" s="610"/>
    </row>
    <row r="19" spans="1:30" s="586" customFormat="1" ht="33.75" x14ac:dyDescent="0.25">
      <c r="A19" s="100">
        <v>4</v>
      </c>
      <c r="B19" s="598" t="s">
        <v>292</v>
      </c>
      <c r="C19" s="585">
        <f>C20+C22</f>
        <v>500000000</v>
      </c>
      <c r="D19" s="585">
        <f t="shared" ref="D19:AC19" si="17">D20+D22</f>
        <v>482200000</v>
      </c>
      <c r="E19" s="585">
        <f t="shared" si="17"/>
        <v>17800000</v>
      </c>
      <c r="F19" s="585">
        <f t="shared" si="17"/>
        <v>0</v>
      </c>
      <c r="G19" s="585">
        <f t="shared" si="17"/>
        <v>0</v>
      </c>
      <c r="H19" s="585">
        <f t="shared" si="17"/>
        <v>0</v>
      </c>
      <c r="I19" s="585">
        <f t="shared" si="17"/>
        <v>500000000</v>
      </c>
      <c r="J19" s="585">
        <f t="shared" si="17"/>
        <v>482200000</v>
      </c>
      <c r="K19" s="585">
        <f t="shared" si="17"/>
        <v>17800000</v>
      </c>
      <c r="L19" s="585">
        <f t="shared" si="17"/>
        <v>0</v>
      </c>
      <c r="M19" s="585">
        <f t="shared" si="17"/>
        <v>0</v>
      </c>
      <c r="N19" s="585">
        <f t="shared" si="17"/>
        <v>0</v>
      </c>
      <c r="O19" s="585">
        <f t="shared" si="17"/>
        <v>0</v>
      </c>
      <c r="P19" s="585">
        <f t="shared" si="17"/>
        <v>0</v>
      </c>
      <c r="Q19" s="585">
        <f t="shared" si="17"/>
        <v>0</v>
      </c>
      <c r="R19" s="585">
        <f t="shared" si="17"/>
        <v>0</v>
      </c>
      <c r="S19" s="585">
        <f t="shared" si="17"/>
        <v>0</v>
      </c>
      <c r="T19" s="585">
        <f t="shared" si="17"/>
        <v>0</v>
      </c>
      <c r="U19" s="585">
        <f t="shared" si="17"/>
        <v>100000000</v>
      </c>
      <c r="V19" s="585">
        <f t="shared" si="17"/>
        <v>100000000</v>
      </c>
      <c r="W19" s="585">
        <f t="shared" si="17"/>
        <v>0</v>
      </c>
      <c r="X19" s="585">
        <f t="shared" si="17"/>
        <v>0</v>
      </c>
      <c r="Y19" s="585">
        <f t="shared" si="17"/>
        <v>0</v>
      </c>
      <c r="Z19" s="585">
        <f t="shared" si="17"/>
        <v>0</v>
      </c>
      <c r="AA19" s="585">
        <f t="shared" si="17"/>
        <v>100000000</v>
      </c>
      <c r="AB19" s="585">
        <f t="shared" si="17"/>
        <v>100000000</v>
      </c>
      <c r="AC19" s="585">
        <f t="shared" si="17"/>
        <v>0</v>
      </c>
      <c r="AD19" s="606">
        <f>U19/C19</f>
        <v>0.2</v>
      </c>
    </row>
    <row r="20" spans="1:30" s="595" customFormat="1" ht="41.25" customHeight="1" x14ac:dyDescent="0.25">
      <c r="A20" s="116" t="s">
        <v>287</v>
      </c>
      <c r="B20" s="131" t="s">
        <v>293</v>
      </c>
      <c r="C20" s="130">
        <f>C21</f>
        <v>350000000</v>
      </c>
      <c r="D20" s="130">
        <f t="shared" ref="D20:AC20" si="18">D21</f>
        <v>332200000</v>
      </c>
      <c r="E20" s="130">
        <f t="shared" si="18"/>
        <v>17800000</v>
      </c>
      <c r="F20" s="130">
        <f t="shared" si="18"/>
        <v>0</v>
      </c>
      <c r="G20" s="130">
        <f t="shared" si="18"/>
        <v>0</v>
      </c>
      <c r="H20" s="130">
        <f t="shared" si="18"/>
        <v>0</v>
      </c>
      <c r="I20" s="130">
        <f t="shared" si="18"/>
        <v>350000000</v>
      </c>
      <c r="J20" s="130">
        <f t="shared" si="18"/>
        <v>332200000</v>
      </c>
      <c r="K20" s="130">
        <f t="shared" si="18"/>
        <v>17800000</v>
      </c>
      <c r="L20" s="130">
        <f t="shared" si="18"/>
        <v>0</v>
      </c>
      <c r="M20" s="130">
        <f t="shared" si="18"/>
        <v>0</v>
      </c>
      <c r="N20" s="130">
        <f t="shared" si="18"/>
        <v>0</v>
      </c>
      <c r="O20" s="130">
        <f t="shared" si="18"/>
        <v>0</v>
      </c>
      <c r="P20" s="130">
        <f t="shared" si="18"/>
        <v>0</v>
      </c>
      <c r="Q20" s="130">
        <f t="shared" si="18"/>
        <v>0</v>
      </c>
      <c r="R20" s="130">
        <f t="shared" si="18"/>
        <v>0</v>
      </c>
      <c r="S20" s="130">
        <f t="shared" si="18"/>
        <v>0</v>
      </c>
      <c r="T20" s="130">
        <f t="shared" si="18"/>
        <v>0</v>
      </c>
      <c r="U20" s="130">
        <f t="shared" si="18"/>
        <v>50000000</v>
      </c>
      <c r="V20" s="130">
        <f t="shared" si="18"/>
        <v>50000000</v>
      </c>
      <c r="W20" s="130">
        <f t="shared" si="18"/>
        <v>0</v>
      </c>
      <c r="X20" s="130">
        <f t="shared" si="18"/>
        <v>0</v>
      </c>
      <c r="Y20" s="130">
        <f t="shared" si="18"/>
        <v>0</v>
      </c>
      <c r="Z20" s="130">
        <f t="shared" si="18"/>
        <v>0</v>
      </c>
      <c r="AA20" s="130">
        <f t="shared" si="18"/>
        <v>50000000</v>
      </c>
      <c r="AB20" s="130">
        <f t="shared" si="18"/>
        <v>50000000</v>
      </c>
      <c r="AC20" s="130">
        <f t="shared" si="18"/>
        <v>0</v>
      </c>
      <c r="AD20" s="610"/>
    </row>
    <row r="21" spans="1:30" s="595" customFormat="1" ht="23.25" customHeight="1" x14ac:dyDescent="0.25">
      <c r="A21" s="116" t="s">
        <v>74</v>
      </c>
      <c r="B21" s="131" t="s">
        <v>197</v>
      </c>
      <c r="C21" s="130">
        <f t="shared" ref="C21:C33" si="19">D21+E21</f>
        <v>350000000</v>
      </c>
      <c r="D21" s="130">
        <f t="shared" ref="D21:E33" si="20">G21+J21</f>
        <v>332200000</v>
      </c>
      <c r="E21" s="130">
        <f t="shared" si="20"/>
        <v>17800000</v>
      </c>
      <c r="F21" s="130"/>
      <c r="G21" s="130"/>
      <c r="H21" s="130"/>
      <c r="I21" s="130">
        <f>J21+K21</f>
        <v>350000000</v>
      </c>
      <c r="J21" s="130">
        <f>482200000-150000000</f>
        <v>332200000</v>
      </c>
      <c r="K21" s="130">
        <v>17800000</v>
      </c>
      <c r="L21" s="130"/>
      <c r="M21" s="130"/>
      <c r="N21" s="130"/>
      <c r="O21" s="130"/>
      <c r="P21" s="130"/>
      <c r="Q21" s="130"/>
      <c r="R21" s="130"/>
      <c r="S21" s="130"/>
      <c r="T21" s="130"/>
      <c r="U21" s="130">
        <f t="shared" ref="U21" si="21">V21+W21</f>
        <v>50000000</v>
      </c>
      <c r="V21" s="130">
        <f t="shared" ref="V21" si="22">Y21+AB21</f>
        <v>50000000</v>
      </c>
      <c r="W21" s="130">
        <f t="shared" ref="W21" si="23">Z21+AC21</f>
        <v>0</v>
      </c>
      <c r="X21" s="130"/>
      <c r="Y21" s="130"/>
      <c r="Z21" s="130"/>
      <c r="AA21" s="130">
        <f>AB21+AC21</f>
        <v>50000000</v>
      </c>
      <c r="AB21" s="130">
        <v>50000000</v>
      </c>
      <c r="AC21" s="130"/>
      <c r="AD21" s="610"/>
    </row>
    <row r="22" spans="1:30" s="595" customFormat="1" ht="27.75" customHeight="1" x14ac:dyDescent="0.25">
      <c r="A22" s="116" t="s">
        <v>287</v>
      </c>
      <c r="B22" s="131" t="s">
        <v>294</v>
      </c>
      <c r="C22" s="130">
        <f>C23</f>
        <v>150000000</v>
      </c>
      <c r="D22" s="130">
        <f t="shared" ref="D22:AC22" si="24">D23</f>
        <v>150000000</v>
      </c>
      <c r="E22" s="130">
        <f t="shared" si="24"/>
        <v>0</v>
      </c>
      <c r="F22" s="130">
        <f t="shared" si="24"/>
        <v>0</v>
      </c>
      <c r="G22" s="130">
        <f t="shared" si="24"/>
        <v>0</v>
      </c>
      <c r="H22" s="130">
        <f t="shared" si="24"/>
        <v>0</v>
      </c>
      <c r="I22" s="130">
        <f t="shared" si="24"/>
        <v>150000000</v>
      </c>
      <c r="J22" s="130">
        <f t="shared" si="24"/>
        <v>150000000</v>
      </c>
      <c r="K22" s="130">
        <f t="shared" si="24"/>
        <v>0</v>
      </c>
      <c r="L22" s="130">
        <f t="shared" si="24"/>
        <v>0</v>
      </c>
      <c r="M22" s="130">
        <f t="shared" si="24"/>
        <v>0</v>
      </c>
      <c r="N22" s="130">
        <f t="shared" si="24"/>
        <v>0</v>
      </c>
      <c r="O22" s="130">
        <f t="shared" si="24"/>
        <v>0</v>
      </c>
      <c r="P22" s="130">
        <f t="shared" si="24"/>
        <v>0</v>
      </c>
      <c r="Q22" s="130">
        <f t="shared" si="24"/>
        <v>0</v>
      </c>
      <c r="R22" s="130">
        <f t="shared" si="24"/>
        <v>0</v>
      </c>
      <c r="S22" s="130">
        <f t="shared" si="24"/>
        <v>0</v>
      </c>
      <c r="T22" s="130">
        <f t="shared" si="24"/>
        <v>0</v>
      </c>
      <c r="U22" s="130">
        <f t="shared" si="24"/>
        <v>50000000</v>
      </c>
      <c r="V22" s="130">
        <f t="shared" si="24"/>
        <v>50000000</v>
      </c>
      <c r="W22" s="130">
        <f t="shared" si="24"/>
        <v>0</v>
      </c>
      <c r="X22" s="130">
        <f t="shared" si="24"/>
        <v>0</v>
      </c>
      <c r="Y22" s="130">
        <f t="shared" si="24"/>
        <v>0</v>
      </c>
      <c r="Z22" s="130">
        <f t="shared" si="24"/>
        <v>0</v>
      </c>
      <c r="AA22" s="130">
        <f t="shared" si="24"/>
        <v>50000000</v>
      </c>
      <c r="AB22" s="130">
        <f t="shared" si="24"/>
        <v>50000000</v>
      </c>
      <c r="AC22" s="130">
        <f t="shared" si="24"/>
        <v>0</v>
      </c>
      <c r="AD22" s="610"/>
    </row>
    <row r="23" spans="1:30" s="595" customFormat="1" ht="22.5" customHeight="1" x14ac:dyDescent="0.25">
      <c r="A23" s="116" t="s">
        <v>74</v>
      </c>
      <c r="B23" s="131" t="s">
        <v>197</v>
      </c>
      <c r="C23" s="130">
        <f t="shared" ref="C23" si="25">D23+E23</f>
        <v>150000000</v>
      </c>
      <c r="D23" s="130">
        <f t="shared" ref="D23:E23" si="26">G23+J23</f>
        <v>150000000</v>
      </c>
      <c r="E23" s="130">
        <f t="shared" si="26"/>
        <v>0</v>
      </c>
      <c r="F23" s="130"/>
      <c r="G23" s="130"/>
      <c r="H23" s="130"/>
      <c r="I23" s="130">
        <f>J23+K23</f>
        <v>150000000</v>
      </c>
      <c r="J23" s="130">
        <v>150000000</v>
      </c>
      <c r="K23" s="130"/>
      <c r="L23" s="130"/>
      <c r="M23" s="130"/>
      <c r="N23" s="130"/>
      <c r="O23" s="130"/>
      <c r="P23" s="130"/>
      <c r="Q23" s="130"/>
      <c r="R23" s="130"/>
      <c r="S23" s="130"/>
      <c r="T23" s="130"/>
      <c r="U23" s="130">
        <f t="shared" ref="U23" si="27">V23+W23</f>
        <v>50000000</v>
      </c>
      <c r="V23" s="130">
        <f t="shared" ref="V23" si="28">Y23+AB23</f>
        <v>50000000</v>
      </c>
      <c r="W23" s="130">
        <f t="shared" ref="W23" si="29">Z23+AC23</f>
        <v>0</v>
      </c>
      <c r="X23" s="130"/>
      <c r="Y23" s="130"/>
      <c r="Z23" s="130"/>
      <c r="AA23" s="130">
        <f>AB23+AC23</f>
        <v>50000000</v>
      </c>
      <c r="AB23" s="130">
        <v>50000000</v>
      </c>
      <c r="AC23" s="130"/>
      <c r="AD23" s="610"/>
    </row>
    <row r="24" spans="1:30" s="586" customFormat="1" ht="37.5" customHeight="1" x14ac:dyDescent="0.25">
      <c r="A24" s="100">
        <v>5</v>
      </c>
      <c r="B24" s="598" t="s">
        <v>295</v>
      </c>
      <c r="C24" s="585">
        <f>C25</f>
        <v>453200000</v>
      </c>
      <c r="D24" s="585">
        <f t="shared" ref="D24:AC24" si="30">D25</f>
        <v>440000000</v>
      </c>
      <c r="E24" s="585">
        <f t="shared" si="30"/>
        <v>13200000</v>
      </c>
      <c r="F24" s="585">
        <f t="shared" si="30"/>
        <v>123600000</v>
      </c>
      <c r="G24" s="585">
        <f t="shared" si="30"/>
        <v>120200000</v>
      </c>
      <c r="H24" s="585">
        <f t="shared" si="30"/>
        <v>3400000</v>
      </c>
      <c r="I24" s="585">
        <f t="shared" si="30"/>
        <v>329600000</v>
      </c>
      <c r="J24" s="585">
        <f t="shared" si="30"/>
        <v>319800000</v>
      </c>
      <c r="K24" s="585">
        <f t="shared" si="30"/>
        <v>9800000</v>
      </c>
      <c r="L24" s="585">
        <f t="shared" si="30"/>
        <v>412000000</v>
      </c>
      <c r="M24" s="585">
        <f t="shared" si="30"/>
        <v>400000000</v>
      </c>
      <c r="N24" s="585">
        <f t="shared" si="30"/>
        <v>12000000</v>
      </c>
      <c r="O24" s="585">
        <f t="shared" si="30"/>
        <v>123600000</v>
      </c>
      <c r="P24" s="585">
        <f t="shared" si="30"/>
        <v>120200000</v>
      </c>
      <c r="Q24" s="585">
        <f t="shared" si="30"/>
        <v>3400000</v>
      </c>
      <c r="R24" s="585">
        <f t="shared" si="30"/>
        <v>288400000</v>
      </c>
      <c r="S24" s="585">
        <f t="shared" si="30"/>
        <v>279800000</v>
      </c>
      <c r="T24" s="585">
        <f t="shared" si="30"/>
        <v>8600000</v>
      </c>
      <c r="U24" s="585">
        <f t="shared" si="30"/>
        <v>453200000</v>
      </c>
      <c r="V24" s="585">
        <f t="shared" si="30"/>
        <v>440000000</v>
      </c>
      <c r="W24" s="585">
        <f t="shared" si="30"/>
        <v>13200000</v>
      </c>
      <c r="X24" s="585">
        <f t="shared" si="30"/>
        <v>123600000</v>
      </c>
      <c r="Y24" s="585">
        <f t="shared" si="30"/>
        <v>120200000</v>
      </c>
      <c r="Z24" s="585">
        <f t="shared" si="30"/>
        <v>3400000</v>
      </c>
      <c r="AA24" s="585">
        <f t="shared" si="30"/>
        <v>329600000</v>
      </c>
      <c r="AB24" s="585">
        <f t="shared" si="30"/>
        <v>319800000</v>
      </c>
      <c r="AC24" s="585">
        <f t="shared" si="30"/>
        <v>9800000</v>
      </c>
      <c r="AD24" s="606">
        <f>U24/C24</f>
        <v>1</v>
      </c>
    </row>
    <row r="25" spans="1:30" s="595" customFormat="1" ht="19.5" customHeight="1" x14ac:dyDescent="0.25">
      <c r="A25" s="116" t="s">
        <v>74</v>
      </c>
      <c r="B25" s="131" t="s">
        <v>196</v>
      </c>
      <c r="C25" s="130">
        <f t="shared" si="19"/>
        <v>453200000</v>
      </c>
      <c r="D25" s="130">
        <f t="shared" si="20"/>
        <v>440000000</v>
      </c>
      <c r="E25" s="130">
        <f t="shared" si="20"/>
        <v>13200000</v>
      </c>
      <c r="F25" s="130">
        <v>123600000</v>
      </c>
      <c r="G25" s="130">
        <v>120200000</v>
      </c>
      <c r="H25" s="130">
        <v>3400000</v>
      </c>
      <c r="I25" s="130">
        <f>J25+K25</f>
        <v>329600000</v>
      </c>
      <c r="J25" s="130">
        <f>440000000-120200000</f>
        <v>319800000</v>
      </c>
      <c r="K25" s="130">
        <f>13200000-3400000</f>
        <v>9800000</v>
      </c>
      <c r="L25" s="130">
        <f>M25+N25</f>
        <v>412000000</v>
      </c>
      <c r="M25" s="130">
        <v>400000000</v>
      </c>
      <c r="N25" s="130">
        <f>Q25+T25</f>
        <v>12000000</v>
      </c>
      <c r="O25" s="130">
        <f>P25+Q25</f>
        <v>123600000</v>
      </c>
      <c r="P25" s="130">
        <v>120200000</v>
      </c>
      <c r="Q25" s="130">
        <v>3400000</v>
      </c>
      <c r="R25" s="130">
        <f>S25+T25</f>
        <v>288400000</v>
      </c>
      <c r="S25" s="130">
        <f>M25-P25</f>
        <v>279800000</v>
      </c>
      <c r="T25" s="130">
        <v>8600000</v>
      </c>
      <c r="U25" s="130">
        <f t="shared" ref="U25" si="31">V25+W25</f>
        <v>453200000</v>
      </c>
      <c r="V25" s="130">
        <f t="shared" ref="V25" si="32">Y25+AB25</f>
        <v>440000000</v>
      </c>
      <c r="W25" s="130">
        <f t="shared" ref="W25" si="33">Z25+AC25</f>
        <v>13200000</v>
      </c>
      <c r="X25" s="130">
        <v>123600000</v>
      </c>
      <c r="Y25" s="130">
        <v>120200000</v>
      </c>
      <c r="Z25" s="130">
        <v>3400000</v>
      </c>
      <c r="AA25" s="130">
        <f>AB25+AC25</f>
        <v>329600000</v>
      </c>
      <c r="AB25" s="130">
        <f>440000000-120200000</f>
        <v>319800000</v>
      </c>
      <c r="AC25" s="130">
        <f>13200000-3400000</f>
        <v>9800000</v>
      </c>
      <c r="AD25" s="610"/>
    </row>
    <row r="26" spans="1:30" s="586" customFormat="1" ht="29.25" customHeight="1" x14ac:dyDescent="0.25">
      <c r="A26" s="100">
        <v>6</v>
      </c>
      <c r="B26" s="598" t="s">
        <v>296</v>
      </c>
      <c r="C26" s="585">
        <f>C27</f>
        <v>75000000</v>
      </c>
      <c r="D26" s="585">
        <f t="shared" ref="D26:AC27" si="34">D27</f>
        <v>75000000</v>
      </c>
      <c r="E26" s="585">
        <f t="shared" si="34"/>
        <v>0</v>
      </c>
      <c r="F26" s="585">
        <f t="shared" si="34"/>
        <v>0</v>
      </c>
      <c r="G26" s="585">
        <f t="shared" si="34"/>
        <v>0</v>
      </c>
      <c r="H26" s="585">
        <f t="shared" si="34"/>
        <v>0</v>
      </c>
      <c r="I26" s="585">
        <f t="shared" si="34"/>
        <v>75000000</v>
      </c>
      <c r="J26" s="585">
        <f t="shared" si="34"/>
        <v>75000000</v>
      </c>
      <c r="K26" s="585">
        <f t="shared" si="34"/>
        <v>0</v>
      </c>
      <c r="L26" s="585">
        <f t="shared" si="34"/>
        <v>0</v>
      </c>
      <c r="M26" s="585">
        <f t="shared" si="34"/>
        <v>0</v>
      </c>
      <c r="N26" s="585">
        <f t="shared" si="34"/>
        <v>0</v>
      </c>
      <c r="O26" s="585">
        <f t="shared" si="34"/>
        <v>0</v>
      </c>
      <c r="P26" s="585">
        <f t="shared" si="34"/>
        <v>0</v>
      </c>
      <c r="Q26" s="585">
        <f t="shared" si="34"/>
        <v>0</v>
      </c>
      <c r="R26" s="585">
        <f t="shared" si="34"/>
        <v>0</v>
      </c>
      <c r="S26" s="585">
        <f t="shared" si="34"/>
        <v>0</v>
      </c>
      <c r="T26" s="585">
        <f t="shared" si="34"/>
        <v>0</v>
      </c>
      <c r="U26" s="585">
        <f t="shared" si="34"/>
        <v>75000000</v>
      </c>
      <c r="V26" s="585">
        <f t="shared" si="34"/>
        <v>75000000</v>
      </c>
      <c r="W26" s="585">
        <f t="shared" si="34"/>
        <v>0</v>
      </c>
      <c r="X26" s="585">
        <f t="shared" si="34"/>
        <v>0</v>
      </c>
      <c r="Y26" s="585">
        <f t="shared" si="34"/>
        <v>0</v>
      </c>
      <c r="Z26" s="585">
        <f t="shared" si="34"/>
        <v>0</v>
      </c>
      <c r="AA26" s="585">
        <f t="shared" si="34"/>
        <v>75000000</v>
      </c>
      <c r="AB26" s="585">
        <f t="shared" si="34"/>
        <v>75000000</v>
      </c>
      <c r="AC26" s="585">
        <f t="shared" si="34"/>
        <v>0</v>
      </c>
      <c r="AD26" s="606">
        <f>U26/C26</f>
        <v>1</v>
      </c>
    </row>
    <row r="27" spans="1:30" s="595" customFormat="1" ht="27" customHeight="1" x14ac:dyDescent="0.25">
      <c r="A27" s="116" t="s">
        <v>287</v>
      </c>
      <c r="B27" s="131" t="s">
        <v>297</v>
      </c>
      <c r="C27" s="130">
        <f>C28</f>
        <v>75000000</v>
      </c>
      <c r="D27" s="130">
        <f t="shared" si="34"/>
        <v>75000000</v>
      </c>
      <c r="E27" s="130">
        <f t="shared" si="34"/>
        <v>0</v>
      </c>
      <c r="F27" s="130">
        <f t="shared" si="34"/>
        <v>0</v>
      </c>
      <c r="G27" s="130">
        <f t="shared" si="34"/>
        <v>0</v>
      </c>
      <c r="H27" s="130">
        <f t="shared" si="34"/>
        <v>0</v>
      </c>
      <c r="I27" s="130">
        <f t="shared" si="34"/>
        <v>75000000</v>
      </c>
      <c r="J27" s="130">
        <f t="shared" si="34"/>
        <v>75000000</v>
      </c>
      <c r="K27" s="130">
        <f t="shared" si="34"/>
        <v>0</v>
      </c>
      <c r="L27" s="130">
        <f t="shared" si="34"/>
        <v>0</v>
      </c>
      <c r="M27" s="130">
        <f t="shared" si="34"/>
        <v>0</v>
      </c>
      <c r="N27" s="130">
        <f t="shared" si="34"/>
        <v>0</v>
      </c>
      <c r="O27" s="130">
        <f t="shared" si="34"/>
        <v>0</v>
      </c>
      <c r="P27" s="130">
        <f t="shared" si="34"/>
        <v>0</v>
      </c>
      <c r="Q27" s="130">
        <f t="shared" si="34"/>
        <v>0</v>
      </c>
      <c r="R27" s="130">
        <f t="shared" si="34"/>
        <v>0</v>
      </c>
      <c r="S27" s="130">
        <f t="shared" si="34"/>
        <v>0</v>
      </c>
      <c r="T27" s="130">
        <f t="shared" si="34"/>
        <v>0</v>
      </c>
      <c r="U27" s="130">
        <f t="shared" si="34"/>
        <v>75000000</v>
      </c>
      <c r="V27" s="130">
        <f t="shared" si="34"/>
        <v>75000000</v>
      </c>
      <c r="W27" s="130">
        <f t="shared" si="34"/>
        <v>0</v>
      </c>
      <c r="X27" s="130">
        <f t="shared" si="34"/>
        <v>0</v>
      </c>
      <c r="Y27" s="130">
        <f t="shared" si="34"/>
        <v>0</v>
      </c>
      <c r="Z27" s="130">
        <f t="shared" si="34"/>
        <v>0</v>
      </c>
      <c r="AA27" s="130">
        <f t="shared" si="34"/>
        <v>75000000</v>
      </c>
      <c r="AB27" s="130">
        <f t="shared" si="34"/>
        <v>75000000</v>
      </c>
      <c r="AC27" s="130">
        <f t="shared" si="34"/>
        <v>0</v>
      </c>
      <c r="AD27" s="611"/>
    </row>
    <row r="28" spans="1:30" s="595" customFormat="1" ht="21" customHeight="1" x14ac:dyDescent="0.25">
      <c r="A28" s="116" t="s">
        <v>74</v>
      </c>
      <c r="B28" s="131" t="s">
        <v>197</v>
      </c>
      <c r="C28" s="130">
        <f t="shared" si="19"/>
        <v>75000000</v>
      </c>
      <c r="D28" s="130">
        <f t="shared" si="20"/>
        <v>75000000</v>
      </c>
      <c r="E28" s="130">
        <f t="shared" si="20"/>
        <v>0</v>
      </c>
      <c r="F28" s="130"/>
      <c r="G28" s="130"/>
      <c r="H28" s="130"/>
      <c r="I28" s="130">
        <v>75000000</v>
      </c>
      <c r="J28" s="130">
        <v>75000000</v>
      </c>
      <c r="K28" s="130"/>
      <c r="L28" s="130"/>
      <c r="M28" s="130"/>
      <c r="N28" s="130"/>
      <c r="O28" s="130"/>
      <c r="P28" s="130"/>
      <c r="Q28" s="130"/>
      <c r="R28" s="130"/>
      <c r="S28" s="130"/>
      <c r="T28" s="130"/>
      <c r="U28" s="130">
        <f t="shared" ref="U28" si="35">V28+W28</f>
        <v>75000000</v>
      </c>
      <c r="V28" s="130">
        <f t="shared" ref="V28" si="36">Y28+AB28</f>
        <v>75000000</v>
      </c>
      <c r="W28" s="130">
        <f t="shared" ref="W28" si="37">Z28+AC28</f>
        <v>0</v>
      </c>
      <c r="X28" s="130"/>
      <c r="Y28" s="130"/>
      <c r="Z28" s="130"/>
      <c r="AA28" s="130">
        <v>75000000</v>
      </c>
      <c r="AB28" s="130">
        <v>75000000</v>
      </c>
      <c r="AC28" s="130"/>
      <c r="AD28" s="611"/>
    </row>
    <row r="29" spans="1:30" s="586" customFormat="1" ht="36.75" customHeight="1" x14ac:dyDescent="0.25">
      <c r="A29" s="100">
        <v>7</v>
      </c>
      <c r="B29" s="598" t="s">
        <v>298</v>
      </c>
      <c r="C29" s="585">
        <f>C30+C32</f>
        <v>146375000</v>
      </c>
      <c r="D29" s="585">
        <f t="shared" ref="D29:AC29" si="38">D30+D32</f>
        <v>142375000</v>
      </c>
      <c r="E29" s="585">
        <f t="shared" si="38"/>
        <v>4000000</v>
      </c>
      <c r="F29" s="585">
        <f t="shared" si="38"/>
        <v>0</v>
      </c>
      <c r="G29" s="585">
        <f t="shared" si="38"/>
        <v>0</v>
      </c>
      <c r="H29" s="585">
        <f t="shared" si="38"/>
        <v>0</v>
      </c>
      <c r="I29" s="585">
        <f t="shared" si="38"/>
        <v>146375000</v>
      </c>
      <c r="J29" s="585">
        <f t="shared" si="38"/>
        <v>142375000</v>
      </c>
      <c r="K29" s="585">
        <f t="shared" si="38"/>
        <v>4000000</v>
      </c>
      <c r="L29" s="585">
        <f t="shared" si="38"/>
        <v>30795902</v>
      </c>
      <c r="M29" s="585">
        <f t="shared" si="38"/>
        <v>26795902</v>
      </c>
      <c r="N29" s="585">
        <f t="shared" si="38"/>
        <v>4000000</v>
      </c>
      <c r="O29" s="585">
        <f t="shared" si="38"/>
        <v>0</v>
      </c>
      <c r="P29" s="585">
        <f t="shared" si="38"/>
        <v>0</v>
      </c>
      <c r="Q29" s="585">
        <f t="shared" si="38"/>
        <v>0</v>
      </c>
      <c r="R29" s="585">
        <f t="shared" si="38"/>
        <v>30795902</v>
      </c>
      <c r="S29" s="585">
        <f t="shared" si="38"/>
        <v>26795902</v>
      </c>
      <c r="T29" s="585">
        <f t="shared" si="38"/>
        <v>4000000</v>
      </c>
      <c r="U29" s="585">
        <f t="shared" si="38"/>
        <v>132137500</v>
      </c>
      <c r="V29" s="585">
        <f t="shared" si="38"/>
        <v>128137500</v>
      </c>
      <c r="W29" s="585">
        <f t="shared" si="38"/>
        <v>4000000</v>
      </c>
      <c r="X29" s="585">
        <f t="shared" si="38"/>
        <v>0</v>
      </c>
      <c r="Y29" s="585">
        <f t="shared" si="38"/>
        <v>0</v>
      </c>
      <c r="Z29" s="585">
        <f t="shared" si="38"/>
        <v>0</v>
      </c>
      <c r="AA29" s="585">
        <f t="shared" si="38"/>
        <v>132137500</v>
      </c>
      <c r="AB29" s="585">
        <f t="shared" si="38"/>
        <v>128137500</v>
      </c>
      <c r="AC29" s="585">
        <f t="shared" si="38"/>
        <v>4000000</v>
      </c>
      <c r="AD29" s="606">
        <f>U29/C29</f>
        <v>0.90273270708795905</v>
      </c>
    </row>
    <row r="30" spans="1:30" s="595" customFormat="1" ht="27" customHeight="1" x14ac:dyDescent="0.25">
      <c r="A30" s="116" t="s">
        <v>287</v>
      </c>
      <c r="B30" s="131" t="s">
        <v>299</v>
      </c>
      <c r="C30" s="130">
        <f>C31</f>
        <v>30000000</v>
      </c>
      <c r="D30" s="130">
        <f t="shared" ref="D30:AC30" si="39">D31</f>
        <v>30000000</v>
      </c>
      <c r="E30" s="130">
        <f t="shared" si="39"/>
        <v>0</v>
      </c>
      <c r="F30" s="130">
        <f t="shared" si="39"/>
        <v>0</v>
      </c>
      <c r="G30" s="130">
        <f t="shared" si="39"/>
        <v>0</v>
      </c>
      <c r="H30" s="130">
        <f t="shared" si="39"/>
        <v>0</v>
      </c>
      <c r="I30" s="130">
        <f t="shared" si="39"/>
        <v>30000000</v>
      </c>
      <c r="J30" s="130">
        <f t="shared" si="39"/>
        <v>30000000</v>
      </c>
      <c r="K30" s="130">
        <f t="shared" si="39"/>
        <v>0</v>
      </c>
      <c r="L30" s="130">
        <f t="shared" si="39"/>
        <v>0</v>
      </c>
      <c r="M30" s="130">
        <f t="shared" si="39"/>
        <v>0</v>
      </c>
      <c r="N30" s="130">
        <f t="shared" si="39"/>
        <v>0</v>
      </c>
      <c r="O30" s="130">
        <f t="shared" si="39"/>
        <v>0</v>
      </c>
      <c r="P30" s="130">
        <f t="shared" si="39"/>
        <v>0</v>
      </c>
      <c r="Q30" s="130">
        <f t="shared" si="39"/>
        <v>0</v>
      </c>
      <c r="R30" s="130">
        <f t="shared" si="39"/>
        <v>0</v>
      </c>
      <c r="S30" s="130">
        <f t="shared" si="39"/>
        <v>0</v>
      </c>
      <c r="T30" s="130">
        <f t="shared" si="39"/>
        <v>0</v>
      </c>
      <c r="U30" s="130">
        <f t="shared" si="39"/>
        <v>27000000</v>
      </c>
      <c r="V30" s="130">
        <f t="shared" si="39"/>
        <v>27000000</v>
      </c>
      <c r="W30" s="130">
        <f t="shared" si="39"/>
        <v>0</v>
      </c>
      <c r="X30" s="130">
        <f t="shared" si="39"/>
        <v>0</v>
      </c>
      <c r="Y30" s="130">
        <f t="shared" si="39"/>
        <v>0</v>
      </c>
      <c r="Z30" s="130">
        <f t="shared" si="39"/>
        <v>0</v>
      </c>
      <c r="AA30" s="130">
        <f t="shared" si="39"/>
        <v>27000000</v>
      </c>
      <c r="AB30" s="130">
        <f t="shared" si="39"/>
        <v>27000000</v>
      </c>
      <c r="AC30" s="130">
        <f t="shared" si="39"/>
        <v>0</v>
      </c>
      <c r="AD30" s="610"/>
    </row>
    <row r="31" spans="1:30" s="595" customFormat="1" ht="18" customHeight="1" x14ac:dyDescent="0.25">
      <c r="A31" s="116" t="s">
        <v>74</v>
      </c>
      <c r="B31" s="131" t="s">
        <v>196</v>
      </c>
      <c r="C31" s="130">
        <f t="shared" si="19"/>
        <v>30000000</v>
      </c>
      <c r="D31" s="130">
        <f t="shared" si="20"/>
        <v>30000000</v>
      </c>
      <c r="E31" s="130">
        <f t="shared" si="20"/>
        <v>0</v>
      </c>
      <c r="F31" s="130"/>
      <c r="G31" s="130"/>
      <c r="H31" s="130"/>
      <c r="I31" s="130">
        <v>30000000</v>
      </c>
      <c r="J31" s="130">
        <v>30000000</v>
      </c>
      <c r="K31" s="130"/>
      <c r="L31" s="130"/>
      <c r="M31" s="130"/>
      <c r="N31" s="130"/>
      <c r="O31" s="130"/>
      <c r="P31" s="130"/>
      <c r="Q31" s="130"/>
      <c r="R31" s="130"/>
      <c r="S31" s="130"/>
      <c r="T31" s="130"/>
      <c r="U31" s="130">
        <f t="shared" ref="U31" si="40">V31+W31</f>
        <v>27000000</v>
      </c>
      <c r="V31" s="130">
        <f t="shared" ref="V31" si="41">Y31+AB31</f>
        <v>27000000</v>
      </c>
      <c r="W31" s="130">
        <f t="shared" ref="W31" si="42">Z31+AC31</f>
        <v>0</v>
      </c>
      <c r="X31" s="130"/>
      <c r="Y31" s="130"/>
      <c r="Z31" s="130"/>
      <c r="AA31" s="130">
        <f>AB31+AC31</f>
        <v>27000000</v>
      </c>
      <c r="AB31" s="130">
        <f>30000000*0.9</f>
        <v>27000000</v>
      </c>
      <c r="AC31" s="130"/>
      <c r="AD31" s="610"/>
    </row>
    <row r="32" spans="1:30" s="595" customFormat="1" ht="22.5" x14ac:dyDescent="0.25">
      <c r="A32" s="116" t="s">
        <v>287</v>
      </c>
      <c r="B32" s="131" t="s">
        <v>300</v>
      </c>
      <c r="C32" s="130">
        <f>C33</f>
        <v>116375000</v>
      </c>
      <c r="D32" s="130">
        <f t="shared" ref="D32:AC32" si="43">D33</f>
        <v>112375000</v>
      </c>
      <c r="E32" s="130">
        <f t="shared" si="43"/>
        <v>4000000</v>
      </c>
      <c r="F32" s="130">
        <f t="shared" si="43"/>
        <v>0</v>
      </c>
      <c r="G32" s="130">
        <f t="shared" si="43"/>
        <v>0</v>
      </c>
      <c r="H32" s="130">
        <f t="shared" si="43"/>
        <v>0</v>
      </c>
      <c r="I32" s="130">
        <f t="shared" si="43"/>
        <v>116375000</v>
      </c>
      <c r="J32" s="130">
        <f t="shared" si="43"/>
        <v>112375000</v>
      </c>
      <c r="K32" s="130">
        <f t="shared" si="43"/>
        <v>4000000</v>
      </c>
      <c r="L32" s="130">
        <f t="shared" si="43"/>
        <v>30795902</v>
      </c>
      <c r="M32" s="130">
        <f t="shared" si="43"/>
        <v>26795902</v>
      </c>
      <c r="N32" s="130">
        <f t="shared" si="43"/>
        <v>4000000</v>
      </c>
      <c r="O32" s="130">
        <f t="shared" si="43"/>
        <v>0</v>
      </c>
      <c r="P32" s="130">
        <f t="shared" si="43"/>
        <v>0</v>
      </c>
      <c r="Q32" s="130">
        <f t="shared" si="43"/>
        <v>0</v>
      </c>
      <c r="R32" s="130">
        <f t="shared" si="43"/>
        <v>30795902</v>
      </c>
      <c r="S32" s="130">
        <f t="shared" si="43"/>
        <v>26795902</v>
      </c>
      <c r="T32" s="130">
        <f t="shared" si="43"/>
        <v>4000000</v>
      </c>
      <c r="U32" s="130">
        <f t="shared" si="43"/>
        <v>105137500</v>
      </c>
      <c r="V32" s="130">
        <f t="shared" si="43"/>
        <v>101137500</v>
      </c>
      <c r="W32" s="130">
        <f t="shared" si="43"/>
        <v>4000000</v>
      </c>
      <c r="X32" s="130">
        <f t="shared" si="43"/>
        <v>0</v>
      </c>
      <c r="Y32" s="130">
        <f t="shared" si="43"/>
        <v>0</v>
      </c>
      <c r="Z32" s="130">
        <f t="shared" si="43"/>
        <v>0</v>
      </c>
      <c r="AA32" s="130">
        <f t="shared" si="43"/>
        <v>105137500</v>
      </c>
      <c r="AB32" s="130">
        <f t="shared" si="43"/>
        <v>101137500</v>
      </c>
      <c r="AC32" s="130">
        <f t="shared" si="43"/>
        <v>4000000</v>
      </c>
      <c r="AD32" s="610"/>
    </row>
    <row r="33" spans="1:30" s="595" customFormat="1" ht="21.75" customHeight="1" x14ac:dyDescent="0.25">
      <c r="A33" s="116" t="s">
        <v>74</v>
      </c>
      <c r="B33" s="131" t="s">
        <v>196</v>
      </c>
      <c r="C33" s="130">
        <f t="shared" si="19"/>
        <v>116375000</v>
      </c>
      <c r="D33" s="130">
        <f t="shared" si="20"/>
        <v>112375000</v>
      </c>
      <c r="E33" s="130">
        <f t="shared" si="20"/>
        <v>4000000</v>
      </c>
      <c r="F33" s="130"/>
      <c r="G33" s="130"/>
      <c r="H33" s="130"/>
      <c r="I33" s="130">
        <f>J33+K33</f>
        <v>116375000</v>
      </c>
      <c r="J33" s="130">
        <f>162375000-50000000</f>
        <v>112375000</v>
      </c>
      <c r="K33" s="130">
        <v>4000000</v>
      </c>
      <c r="L33" s="130">
        <f>M33+N33</f>
        <v>30795902</v>
      </c>
      <c r="M33" s="130">
        <f>P33+S33</f>
        <v>26795902</v>
      </c>
      <c r="N33" s="130">
        <f>Q33+T33</f>
        <v>4000000</v>
      </c>
      <c r="O33" s="130"/>
      <c r="P33" s="130"/>
      <c r="Q33" s="130"/>
      <c r="R33" s="130">
        <f>S33+T33</f>
        <v>30795902</v>
      </c>
      <c r="S33" s="130">
        <f>7606222+19189680</f>
        <v>26795902</v>
      </c>
      <c r="T33" s="130">
        <v>4000000</v>
      </c>
      <c r="U33" s="130">
        <f t="shared" ref="U33" si="44">V33+W33</f>
        <v>105137500</v>
      </c>
      <c r="V33" s="130">
        <f t="shared" ref="V33" si="45">Y33+AB33</f>
        <v>101137500</v>
      </c>
      <c r="W33" s="130">
        <f t="shared" ref="W33" si="46">Z33+AC33</f>
        <v>4000000</v>
      </c>
      <c r="X33" s="130"/>
      <c r="Y33" s="130"/>
      <c r="Z33" s="130"/>
      <c r="AA33" s="130">
        <f>AB33+AC33</f>
        <v>105137500</v>
      </c>
      <c r="AB33" s="130">
        <f>(162375000-50000000)*0.9</f>
        <v>101137500</v>
      </c>
      <c r="AC33" s="130">
        <v>4000000</v>
      </c>
      <c r="AD33" s="610"/>
    </row>
    <row r="34" spans="1:30" s="591" customFormat="1" ht="36.75" customHeight="1" x14ac:dyDescent="0.25">
      <c r="A34" s="588" t="s">
        <v>7</v>
      </c>
      <c r="B34" s="589" t="s">
        <v>275</v>
      </c>
      <c r="C34" s="590">
        <f>C35+C40+C43+C46+C48</f>
        <v>11010453192</v>
      </c>
      <c r="D34" s="590">
        <f t="shared" ref="D34:AC34" si="47">D35+D40+D43+D46+D48</f>
        <v>10811453192</v>
      </c>
      <c r="E34" s="590">
        <f t="shared" si="47"/>
        <v>199000000</v>
      </c>
      <c r="F34" s="590">
        <f t="shared" si="47"/>
        <v>2464453192</v>
      </c>
      <c r="G34" s="590">
        <f t="shared" si="47"/>
        <v>2464453192</v>
      </c>
      <c r="H34" s="590">
        <f t="shared" si="47"/>
        <v>0</v>
      </c>
      <c r="I34" s="590">
        <f t="shared" si="47"/>
        <v>8546000000</v>
      </c>
      <c r="J34" s="590">
        <f t="shared" si="47"/>
        <v>8347000000</v>
      </c>
      <c r="K34" s="590">
        <f t="shared" si="47"/>
        <v>199000000</v>
      </c>
      <c r="L34" s="590">
        <f t="shared" si="47"/>
        <v>6758485256</v>
      </c>
      <c r="M34" s="590">
        <f t="shared" si="47"/>
        <v>6615985256</v>
      </c>
      <c r="N34" s="590">
        <f t="shared" si="47"/>
        <v>142500000</v>
      </c>
      <c r="O34" s="590">
        <f t="shared" si="47"/>
        <v>810092868</v>
      </c>
      <c r="P34" s="590">
        <f t="shared" si="47"/>
        <v>810092868</v>
      </c>
      <c r="Q34" s="590">
        <f t="shared" si="47"/>
        <v>0</v>
      </c>
      <c r="R34" s="590">
        <f t="shared" si="47"/>
        <v>2100000000</v>
      </c>
      <c r="S34" s="590">
        <f t="shared" si="47"/>
        <v>5805892388</v>
      </c>
      <c r="T34" s="590">
        <f t="shared" si="47"/>
        <v>142500000</v>
      </c>
      <c r="U34" s="590">
        <f t="shared" si="47"/>
        <v>10965303582</v>
      </c>
      <c r="V34" s="590">
        <f t="shared" si="47"/>
        <v>10766303582</v>
      </c>
      <c r="W34" s="590">
        <f t="shared" si="47"/>
        <v>199000000</v>
      </c>
      <c r="X34" s="590">
        <f t="shared" si="47"/>
        <v>2419303582</v>
      </c>
      <c r="Y34" s="590">
        <f t="shared" si="47"/>
        <v>2419303582</v>
      </c>
      <c r="Z34" s="590">
        <f t="shared" si="47"/>
        <v>0</v>
      </c>
      <c r="AA34" s="590">
        <f t="shared" si="47"/>
        <v>8546000000</v>
      </c>
      <c r="AB34" s="590">
        <f t="shared" si="47"/>
        <v>8347000000</v>
      </c>
      <c r="AC34" s="590">
        <f t="shared" si="47"/>
        <v>199000000</v>
      </c>
      <c r="AD34" s="607">
        <f>U34/C34</f>
        <v>0.99589938677248957</v>
      </c>
    </row>
    <row r="35" spans="1:30" s="599" customFormat="1" ht="69.75" customHeight="1" x14ac:dyDescent="0.25">
      <c r="A35" s="100">
        <v>1</v>
      </c>
      <c r="B35" s="598" t="s">
        <v>301</v>
      </c>
      <c r="C35" s="585">
        <f>C36+C38</f>
        <v>9530303582</v>
      </c>
      <c r="D35" s="585">
        <f t="shared" ref="D35:AC35" si="48">D36+D38</f>
        <v>9350303582</v>
      </c>
      <c r="E35" s="585">
        <f t="shared" si="48"/>
        <v>180000000</v>
      </c>
      <c r="F35" s="585">
        <f t="shared" si="48"/>
        <v>1329303582</v>
      </c>
      <c r="G35" s="585">
        <f t="shared" si="48"/>
        <v>1329303582</v>
      </c>
      <c r="H35" s="585">
        <f t="shared" si="48"/>
        <v>0</v>
      </c>
      <c r="I35" s="585">
        <f t="shared" si="48"/>
        <v>8201000000</v>
      </c>
      <c r="J35" s="585">
        <f t="shared" si="48"/>
        <v>8021000000</v>
      </c>
      <c r="K35" s="585">
        <f t="shared" si="48"/>
        <v>180000000</v>
      </c>
      <c r="L35" s="585">
        <f t="shared" si="48"/>
        <v>6500485256</v>
      </c>
      <c r="M35" s="585">
        <f t="shared" si="48"/>
        <v>6357985256</v>
      </c>
      <c r="N35" s="585">
        <f t="shared" si="48"/>
        <v>142500000</v>
      </c>
      <c r="O35" s="585">
        <f t="shared" si="48"/>
        <v>552092868</v>
      </c>
      <c r="P35" s="585">
        <f t="shared" si="48"/>
        <v>552092868</v>
      </c>
      <c r="Q35" s="585">
        <f t="shared" si="48"/>
        <v>0</v>
      </c>
      <c r="R35" s="585">
        <f t="shared" si="48"/>
        <v>2100000000</v>
      </c>
      <c r="S35" s="585">
        <f t="shared" si="48"/>
        <v>5805892388</v>
      </c>
      <c r="T35" s="585">
        <f t="shared" si="48"/>
        <v>142500000</v>
      </c>
      <c r="U35" s="585">
        <f t="shared" si="48"/>
        <v>9530303582</v>
      </c>
      <c r="V35" s="585">
        <f t="shared" si="48"/>
        <v>9350303582</v>
      </c>
      <c r="W35" s="585">
        <f t="shared" si="48"/>
        <v>180000000</v>
      </c>
      <c r="X35" s="585">
        <f t="shared" si="48"/>
        <v>1329303582</v>
      </c>
      <c r="Y35" s="585">
        <f t="shared" si="48"/>
        <v>1329303582</v>
      </c>
      <c r="Z35" s="585">
        <f t="shared" si="48"/>
        <v>0</v>
      </c>
      <c r="AA35" s="585">
        <f t="shared" si="48"/>
        <v>8201000000</v>
      </c>
      <c r="AB35" s="585">
        <f t="shared" si="48"/>
        <v>8021000000</v>
      </c>
      <c r="AC35" s="585">
        <f t="shared" si="48"/>
        <v>180000000</v>
      </c>
      <c r="AD35" s="606">
        <f>U35/C35</f>
        <v>1</v>
      </c>
    </row>
    <row r="36" spans="1:30" s="600" customFormat="1" ht="48" customHeight="1" x14ac:dyDescent="0.25">
      <c r="A36" s="116" t="s">
        <v>287</v>
      </c>
      <c r="B36" s="131" t="s">
        <v>302</v>
      </c>
      <c r="C36" s="130">
        <f>C37</f>
        <v>2296000000</v>
      </c>
      <c r="D36" s="130">
        <f t="shared" ref="D36:AC36" si="49">D37</f>
        <v>2296000000</v>
      </c>
      <c r="E36" s="130">
        <f t="shared" si="49"/>
        <v>0</v>
      </c>
      <c r="F36" s="130">
        <f t="shared" si="49"/>
        <v>1233392388</v>
      </c>
      <c r="G36" s="130">
        <f t="shared" si="49"/>
        <v>1233392388</v>
      </c>
      <c r="H36" s="130">
        <f t="shared" si="49"/>
        <v>0</v>
      </c>
      <c r="I36" s="130">
        <f t="shared" si="49"/>
        <v>1062607612</v>
      </c>
      <c r="J36" s="130">
        <f t="shared" si="49"/>
        <v>1062607612</v>
      </c>
      <c r="K36" s="130">
        <f t="shared" si="49"/>
        <v>0</v>
      </c>
      <c r="L36" s="130">
        <f t="shared" si="49"/>
        <v>456181674</v>
      </c>
      <c r="M36" s="130">
        <f t="shared" si="49"/>
        <v>456181674</v>
      </c>
      <c r="N36" s="130">
        <f t="shared" si="49"/>
        <v>0</v>
      </c>
      <c r="O36" s="130">
        <f t="shared" si="49"/>
        <v>456181674</v>
      </c>
      <c r="P36" s="130">
        <f t="shared" si="49"/>
        <v>456181674</v>
      </c>
      <c r="Q36" s="130">
        <f t="shared" si="49"/>
        <v>0</v>
      </c>
      <c r="R36" s="130">
        <f t="shared" si="49"/>
        <v>0</v>
      </c>
      <c r="S36" s="130">
        <f t="shared" si="49"/>
        <v>0</v>
      </c>
      <c r="T36" s="130">
        <f t="shared" si="49"/>
        <v>0</v>
      </c>
      <c r="U36" s="130">
        <f t="shared" si="49"/>
        <v>2296000000</v>
      </c>
      <c r="V36" s="130">
        <f t="shared" si="49"/>
        <v>2296000000</v>
      </c>
      <c r="W36" s="130">
        <f t="shared" si="49"/>
        <v>0</v>
      </c>
      <c r="X36" s="130">
        <f t="shared" si="49"/>
        <v>1233392388</v>
      </c>
      <c r="Y36" s="130">
        <f t="shared" si="49"/>
        <v>1233392388</v>
      </c>
      <c r="Z36" s="130">
        <f t="shared" si="49"/>
        <v>0</v>
      </c>
      <c r="AA36" s="130">
        <f t="shared" si="49"/>
        <v>1062607612</v>
      </c>
      <c r="AB36" s="130">
        <f t="shared" si="49"/>
        <v>1062607612</v>
      </c>
      <c r="AC36" s="130">
        <f t="shared" si="49"/>
        <v>0</v>
      </c>
      <c r="AD36" s="612"/>
    </row>
    <row r="37" spans="1:30" s="600" customFormat="1" ht="19.5" customHeight="1" x14ac:dyDescent="0.25">
      <c r="A37" s="116" t="s">
        <v>74</v>
      </c>
      <c r="B37" s="131" t="s">
        <v>196</v>
      </c>
      <c r="C37" s="130">
        <f t="shared" ref="C37" si="50">D37+E37</f>
        <v>2296000000</v>
      </c>
      <c r="D37" s="130">
        <f t="shared" ref="D37:E37" si="51">G37+J37</f>
        <v>2296000000</v>
      </c>
      <c r="E37" s="130">
        <f t="shared" si="51"/>
        <v>0</v>
      </c>
      <c r="F37" s="130">
        <v>1233392388</v>
      </c>
      <c r="G37" s="130">
        <v>1233392388</v>
      </c>
      <c r="H37" s="130">
        <v>0</v>
      </c>
      <c r="I37" s="130">
        <f>J37+K37</f>
        <v>1062607612</v>
      </c>
      <c r="J37" s="130">
        <f>2296000000-1233392388</f>
        <v>1062607612</v>
      </c>
      <c r="K37" s="130">
        <v>0</v>
      </c>
      <c r="L37" s="130">
        <f>M37+N37</f>
        <v>456181674</v>
      </c>
      <c r="M37" s="130">
        <v>456181674</v>
      </c>
      <c r="N37" s="130"/>
      <c r="O37" s="130">
        <f>P37+Q37</f>
        <v>456181674</v>
      </c>
      <c r="P37" s="130">
        <v>456181674</v>
      </c>
      <c r="Q37" s="130"/>
      <c r="R37" s="130"/>
      <c r="S37" s="130"/>
      <c r="T37" s="130"/>
      <c r="U37" s="130">
        <f t="shared" ref="U37" si="52">V37+W37</f>
        <v>2296000000</v>
      </c>
      <c r="V37" s="130">
        <f t="shared" ref="V37" si="53">Y37+AB37</f>
        <v>2296000000</v>
      </c>
      <c r="W37" s="130">
        <f t="shared" ref="W37" si="54">Z37+AC37</f>
        <v>0</v>
      </c>
      <c r="X37" s="130">
        <v>1233392388</v>
      </c>
      <c r="Y37" s="130">
        <v>1233392388</v>
      </c>
      <c r="Z37" s="130">
        <v>0</v>
      </c>
      <c r="AA37" s="130">
        <f>AB37+AC37</f>
        <v>1062607612</v>
      </c>
      <c r="AB37" s="130">
        <f>2296000000-1233392388</f>
        <v>1062607612</v>
      </c>
      <c r="AC37" s="130">
        <v>0</v>
      </c>
      <c r="AD37" s="612"/>
    </row>
    <row r="38" spans="1:30" s="600" customFormat="1" ht="85.5" customHeight="1" x14ac:dyDescent="0.25">
      <c r="A38" s="116" t="s">
        <v>287</v>
      </c>
      <c r="B38" s="131" t="s">
        <v>303</v>
      </c>
      <c r="C38" s="130">
        <f>C39</f>
        <v>7234303582</v>
      </c>
      <c r="D38" s="130">
        <f t="shared" ref="D38:AC38" si="55">D39</f>
        <v>7054303582</v>
      </c>
      <c r="E38" s="130">
        <f t="shared" si="55"/>
        <v>180000000</v>
      </c>
      <c r="F38" s="130">
        <f t="shared" si="55"/>
        <v>95911194</v>
      </c>
      <c r="G38" s="130">
        <f t="shared" si="55"/>
        <v>95911194</v>
      </c>
      <c r="H38" s="130">
        <f t="shared" si="55"/>
        <v>0</v>
      </c>
      <c r="I38" s="130">
        <f t="shared" si="55"/>
        <v>7138392388</v>
      </c>
      <c r="J38" s="130">
        <f t="shared" si="55"/>
        <v>6958392388</v>
      </c>
      <c r="K38" s="130">
        <f t="shared" si="55"/>
        <v>180000000</v>
      </c>
      <c r="L38" s="130">
        <f t="shared" si="55"/>
        <v>6044303582</v>
      </c>
      <c r="M38" s="130">
        <f t="shared" si="55"/>
        <v>5901803582</v>
      </c>
      <c r="N38" s="130">
        <f t="shared" si="55"/>
        <v>142500000</v>
      </c>
      <c r="O38" s="130">
        <f t="shared" si="55"/>
        <v>95911194</v>
      </c>
      <c r="P38" s="130">
        <f t="shared" si="55"/>
        <v>95911194</v>
      </c>
      <c r="Q38" s="130">
        <f t="shared" si="55"/>
        <v>0</v>
      </c>
      <c r="R38" s="130">
        <f t="shared" si="55"/>
        <v>2100000000</v>
      </c>
      <c r="S38" s="130">
        <f t="shared" si="55"/>
        <v>5805892388</v>
      </c>
      <c r="T38" s="130">
        <f t="shared" si="55"/>
        <v>142500000</v>
      </c>
      <c r="U38" s="130">
        <f t="shared" si="55"/>
        <v>7234303582</v>
      </c>
      <c r="V38" s="130">
        <f t="shared" si="55"/>
        <v>7054303582</v>
      </c>
      <c r="W38" s="130">
        <f t="shared" si="55"/>
        <v>180000000</v>
      </c>
      <c r="X38" s="130">
        <f t="shared" si="55"/>
        <v>95911194</v>
      </c>
      <c r="Y38" s="130">
        <f t="shared" si="55"/>
        <v>95911194</v>
      </c>
      <c r="Z38" s="130">
        <f t="shared" si="55"/>
        <v>0</v>
      </c>
      <c r="AA38" s="130">
        <f t="shared" si="55"/>
        <v>7138392388</v>
      </c>
      <c r="AB38" s="130">
        <f t="shared" si="55"/>
        <v>6958392388</v>
      </c>
      <c r="AC38" s="130">
        <f t="shared" si="55"/>
        <v>180000000</v>
      </c>
      <c r="AD38" s="612"/>
    </row>
    <row r="39" spans="1:30" s="600" customFormat="1" ht="22.5" customHeight="1" x14ac:dyDescent="0.25">
      <c r="A39" s="116" t="s">
        <v>74</v>
      </c>
      <c r="B39" s="131" t="s">
        <v>196</v>
      </c>
      <c r="C39" s="130">
        <f t="shared" ref="C39" si="56">D39+E39</f>
        <v>7234303582</v>
      </c>
      <c r="D39" s="130">
        <f t="shared" ref="D39:E39" si="57">G39+J39</f>
        <v>7054303582</v>
      </c>
      <c r="E39" s="130">
        <f t="shared" si="57"/>
        <v>180000000</v>
      </c>
      <c r="F39" s="130">
        <v>95911194</v>
      </c>
      <c r="G39" s="130">
        <v>95911194</v>
      </c>
      <c r="H39" s="130">
        <v>0</v>
      </c>
      <c r="I39" s="130">
        <f>J39+K39</f>
        <v>7138392388</v>
      </c>
      <c r="J39" s="130">
        <f>5725000000+1233392388</f>
        <v>6958392388</v>
      </c>
      <c r="K39" s="130">
        <v>180000000</v>
      </c>
      <c r="L39" s="130">
        <f>M39+N39</f>
        <v>6044303582</v>
      </c>
      <c r="M39" s="130">
        <v>5901803582</v>
      </c>
      <c r="N39" s="130">
        <v>142500000</v>
      </c>
      <c r="O39" s="130">
        <v>95911194</v>
      </c>
      <c r="P39" s="130">
        <v>95911194</v>
      </c>
      <c r="Q39" s="130">
        <v>0</v>
      </c>
      <c r="R39" s="130">
        <v>2100000000</v>
      </c>
      <c r="S39" s="130">
        <f>M39-P39</f>
        <v>5805892388</v>
      </c>
      <c r="T39" s="130">
        <f>N39-Q39</f>
        <v>142500000</v>
      </c>
      <c r="U39" s="130">
        <f t="shared" ref="U39" si="58">V39+W39</f>
        <v>7234303582</v>
      </c>
      <c r="V39" s="130">
        <f t="shared" ref="V39" si="59">Y39+AB39</f>
        <v>7054303582</v>
      </c>
      <c r="W39" s="130">
        <f t="shared" ref="W39" si="60">Z39+AC39</f>
        <v>180000000</v>
      </c>
      <c r="X39" s="130">
        <v>95911194</v>
      </c>
      <c r="Y39" s="130">
        <v>95911194</v>
      </c>
      <c r="Z39" s="130">
        <v>0</v>
      </c>
      <c r="AA39" s="130">
        <f>AB39+AC39</f>
        <v>7138392388</v>
      </c>
      <c r="AB39" s="130">
        <f>5725000000+1233392388</f>
        <v>6958392388</v>
      </c>
      <c r="AC39" s="130">
        <v>180000000</v>
      </c>
      <c r="AD39" s="612"/>
    </row>
    <row r="40" spans="1:30" s="599" customFormat="1" ht="90" x14ac:dyDescent="0.25">
      <c r="A40" s="100">
        <v>2</v>
      </c>
      <c r="B40" s="598" t="s">
        <v>304</v>
      </c>
      <c r="C40" s="585">
        <f>C41</f>
        <v>251149610</v>
      </c>
      <c r="D40" s="585">
        <f t="shared" ref="D40:AC41" si="61">D41</f>
        <v>251149610</v>
      </c>
      <c r="E40" s="585">
        <f t="shared" si="61"/>
        <v>0</v>
      </c>
      <c r="F40" s="585">
        <f t="shared" si="61"/>
        <v>251149610</v>
      </c>
      <c r="G40" s="585">
        <f t="shared" si="61"/>
        <v>251149610</v>
      </c>
      <c r="H40" s="585">
        <f t="shared" si="61"/>
        <v>0</v>
      </c>
      <c r="I40" s="585">
        <f t="shared" si="61"/>
        <v>0</v>
      </c>
      <c r="J40" s="585">
        <f t="shared" si="61"/>
        <v>0</v>
      </c>
      <c r="K40" s="585">
        <f t="shared" si="61"/>
        <v>0</v>
      </c>
      <c r="L40" s="585">
        <f t="shared" si="61"/>
        <v>250000000</v>
      </c>
      <c r="M40" s="585">
        <f t="shared" si="61"/>
        <v>250000000</v>
      </c>
      <c r="N40" s="585">
        <f t="shared" si="61"/>
        <v>0</v>
      </c>
      <c r="O40" s="585">
        <f t="shared" si="61"/>
        <v>250000000</v>
      </c>
      <c r="P40" s="585">
        <f t="shared" si="61"/>
        <v>250000000</v>
      </c>
      <c r="Q40" s="585">
        <f t="shared" si="61"/>
        <v>0</v>
      </c>
      <c r="R40" s="585">
        <f t="shared" si="61"/>
        <v>0</v>
      </c>
      <c r="S40" s="585">
        <f t="shared" si="61"/>
        <v>0</v>
      </c>
      <c r="T40" s="585">
        <f t="shared" si="61"/>
        <v>0</v>
      </c>
      <c r="U40" s="585">
        <f t="shared" si="61"/>
        <v>250000000</v>
      </c>
      <c r="V40" s="585">
        <f t="shared" si="61"/>
        <v>250000000</v>
      </c>
      <c r="W40" s="585">
        <f t="shared" si="61"/>
        <v>0</v>
      </c>
      <c r="X40" s="585">
        <f t="shared" si="61"/>
        <v>250000000</v>
      </c>
      <c r="Y40" s="585">
        <f t="shared" si="61"/>
        <v>250000000</v>
      </c>
      <c r="Z40" s="585">
        <f t="shared" si="61"/>
        <v>0</v>
      </c>
      <c r="AA40" s="585">
        <f t="shared" si="61"/>
        <v>0</v>
      </c>
      <c r="AB40" s="585">
        <f t="shared" si="61"/>
        <v>0</v>
      </c>
      <c r="AC40" s="585">
        <f t="shared" si="61"/>
        <v>0</v>
      </c>
      <c r="AD40" s="606">
        <f>U40/C40</f>
        <v>0.99542260885852063</v>
      </c>
    </row>
    <row r="41" spans="1:30" s="600" customFormat="1" ht="56.25" x14ac:dyDescent="0.25">
      <c r="A41" s="116" t="s">
        <v>287</v>
      </c>
      <c r="B41" s="131" t="s">
        <v>305</v>
      </c>
      <c r="C41" s="130">
        <f>C42</f>
        <v>251149610</v>
      </c>
      <c r="D41" s="130">
        <f t="shared" si="61"/>
        <v>251149610</v>
      </c>
      <c r="E41" s="130">
        <f t="shared" si="61"/>
        <v>0</v>
      </c>
      <c r="F41" s="130">
        <f t="shared" si="61"/>
        <v>251149610</v>
      </c>
      <c r="G41" s="130">
        <f t="shared" si="61"/>
        <v>251149610</v>
      </c>
      <c r="H41" s="130">
        <f t="shared" si="61"/>
        <v>0</v>
      </c>
      <c r="I41" s="130">
        <f t="shared" si="61"/>
        <v>0</v>
      </c>
      <c r="J41" s="130">
        <f t="shared" si="61"/>
        <v>0</v>
      </c>
      <c r="K41" s="130">
        <f t="shared" si="61"/>
        <v>0</v>
      </c>
      <c r="L41" s="130">
        <f t="shared" si="61"/>
        <v>250000000</v>
      </c>
      <c r="M41" s="130">
        <f t="shared" si="61"/>
        <v>250000000</v>
      </c>
      <c r="N41" s="130">
        <f t="shared" si="61"/>
        <v>0</v>
      </c>
      <c r="O41" s="130">
        <f t="shared" si="61"/>
        <v>250000000</v>
      </c>
      <c r="P41" s="130">
        <f t="shared" si="61"/>
        <v>250000000</v>
      </c>
      <c r="Q41" s="130">
        <f t="shared" si="61"/>
        <v>0</v>
      </c>
      <c r="R41" s="130">
        <f t="shared" si="61"/>
        <v>0</v>
      </c>
      <c r="S41" s="130">
        <f t="shared" si="61"/>
        <v>0</v>
      </c>
      <c r="T41" s="130">
        <f t="shared" si="61"/>
        <v>0</v>
      </c>
      <c r="U41" s="130">
        <f t="shared" si="61"/>
        <v>250000000</v>
      </c>
      <c r="V41" s="130">
        <f t="shared" si="61"/>
        <v>250000000</v>
      </c>
      <c r="W41" s="130">
        <f t="shared" si="61"/>
        <v>0</v>
      </c>
      <c r="X41" s="130">
        <f t="shared" si="61"/>
        <v>250000000</v>
      </c>
      <c r="Y41" s="130">
        <f t="shared" si="61"/>
        <v>250000000</v>
      </c>
      <c r="Z41" s="130">
        <f t="shared" si="61"/>
        <v>0</v>
      </c>
      <c r="AA41" s="130">
        <f t="shared" si="61"/>
        <v>0</v>
      </c>
      <c r="AB41" s="130">
        <f t="shared" si="61"/>
        <v>0</v>
      </c>
      <c r="AC41" s="130">
        <f t="shared" si="61"/>
        <v>0</v>
      </c>
      <c r="AD41" s="612"/>
    </row>
    <row r="42" spans="1:30" s="600" customFormat="1" ht="20.25" customHeight="1" x14ac:dyDescent="0.25">
      <c r="A42" s="116" t="s">
        <v>74</v>
      </c>
      <c r="B42" s="131" t="s">
        <v>196</v>
      </c>
      <c r="C42" s="130">
        <f t="shared" ref="C42" si="62">D42+E42</f>
        <v>251149610</v>
      </c>
      <c r="D42" s="130">
        <f t="shared" ref="D42:E42" si="63">G42+J42</f>
        <v>251149610</v>
      </c>
      <c r="E42" s="130">
        <f t="shared" si="63"/>
        <v>0</v>
      </c>
      <c r="F42" s="130">
        <v>251149610</v>
      </c>
      <c r="G42" s="130">
        <v>251149610</v>
      </c>
      <c r="H42" s="130">
        <v>0</v>
      </c>
      <c r="I42" s="130"/>
      <c r="J42" s="130"/>
      <c r="K42" s="130"/>
      <c r="L42" s="130">
        <f>M42+N42</f>
        <v>250000000</v>
      </c>
      <c r="M42" s="130">
        <f>P42+S42</f>
        <v>250000000</v>
      </c>
      <c r="N42" s="130">
        <f>Q42+T42</f>
        <v>0</v>
      </c>
      <c r="O42" s="130">
        <f>P42+Q42</f>
        <v>250000000</v>
      </c>
      <c r="P42" s="130">
        <v>250000000</v>
      </c>
      <c r="Q42" s="130"/>
      <c r="R42" s="130"/>
      <c r="S42" s="130"/>
      <c r="T42" s="130"/>
      <c r="U42" s="130">
        <f>V42+W42</f>
        <v>250000000</v>
      </c>
      <c r="V42" s="130">
        <f>Y42+AB42</f>
        <v>250000000</v>
      </c>
      <c r="W42" s="130">
        <f>Z42+AC42</f>
        <v>0</v>
      </c>
      <c r="X42" s="130">
        <f>Y42+Z42</f>
        <v>250000000</v>
      </c>
      <c r="Y42" s="130">
        <v>250000000</v>
      </c>
      <c r="Z42" s="130"/>
      <c r="AA42" s="130"/>
      <c r="AB42" s="130"/>
      <c r="AC42" s="130"/>
      <c r="AD42" s="612"/>
    </row>
    <row r="43" spans="1:30" s="599" customFormat="1" ht="38.25" customHeight="1" x14ac:dyDescent="0.25">
      <c r="A43" s="100">
        <v>3</v>
      </c>
      <c r="B43" s="598" t="s">
        <v>306</v>
      </c>
      <c r="C43" s="585">
        <f>C44</f>
        <v>884000000</v>
      </c>
      <c r="D43" s="585">
        <f t="shared" ref="D43:AC44" si="64">D44</f>
        <v>884000000</v>
      </c>
      <c r="E43" s="585">
        <f t="shared" si="64"/>
        <v>0</v>
      </c>
      <c r="F43" s="585">
        <f t="shared" si="64"/>
        <v>884000000</v>
      </c>
      <c r="G43" s="585">
        <f t="shared" si="64"/>
        <v>884000000</v>
      </c>
      <c r="H43" s="585">
        <f t="shared" si="64"/>
        <v>0</v>
      </c>
      <c r="I43" s="585">
        <f t="shared" si="64"/>
        <v>0</v>
      </c>
      <c r="J43" s="585">
        <f t="shared" si="64"/>
        <v>0</v>
      </c>
      <c r="K43" s="585">
        <f t="shared" si="64"/>
        <v>0</v>
      </c>
      <c r="L43" s="585">
        <f t="shared" si="64"/>
        <v>8000000</v>
      </c>
      <c r="M43" s="585">
        <f t="shared" si="64"/>
        <v>8000000</v>
      </c>
      <c r="N43" s="585">
        <f t="shared" si="64"/>
        <v>0</v>
      </c>
      <c r="O43" s="585">
        <f t="shared" si="64"/>
        <v>8000000</v>
      </c>
      <c r="P43" s="585">
        <f t="shared" si="64"/>
        <v>8000000</v>
      </c>
      <c r="Q43" s="585">
        <f t="shared" si="64"/>
        <v>0</v>
      </c>
      <c r="R43" s="585">
        <f t="shared" si="64"/>
        <v>0</v>
      </c>
      <c r="S43" s="585">
        <f t="shared" si="64"/>
        <v>0</v>
      </c>
      <c r="T43" s="585">
        <f t="shared" si="64"/>
        <v>0</v>
      </c>
      <c r="U43" s="585">
        <f t="shared" si="64"/>
        <v>840000000</v>
      </c>
      <c r="V43" s="585">
        <f t="shared" si="64"/>
        <v>840000000</v>
      </c>
      <c r="W43" s="585">
        <f t="shared" si="64"/>
        <v>0</v>
      </c>
      <c r="X43" s="585">
        <f t="shared" si="64"/>
        <v>840000000</v>
      </c>
      <c r="Y43" s="585">
        <f t="shared" si="64"/>
        <v>840000000</v>
      </c>
      <c r="Z43" s="585">
        <f t="shared" si="64"/>
        <v>0</v>
      </c>
      <c r="AA43" s="585">
        <f t="shared" si="64"/>
        <v>0</v>
      </c>
      <c r="AB43" s="585">
        <f t="shared" si="64"/>
        <v>0</v>
      </c>
      <c r="AC43" s="585">
        <f t="shared" si="64"/>
        <v>0</v>
      </c>
      <c r="AD43" s="606">
        <f>U43/C43</f>
        <v>0.95022624434389136</v>
      </c>
    </row>
    <row r="44" spans="1:30" s="600" customFormat="1" ht="95.25" customHeight="1" x14ac:dyDescent="0.25">
      <c r="A44" s="116" t="s">
        <v>287</v>
      </c>
      <c r="B44" s="131" t="s">
        <v>307</v>
      </c>
      <c r="C44" s="130">
        <f>C45</f>
        <v>884000000</v>
      </c>
      <c r="D44" s="130">
        <f t="shared" si="64"/>
        <v>884000000</v>
      </c>
      <c r="E44" s="130">
        <f t="shared" si="64"/>
        <v>0</v>
      </c>
      <c r="F44" s="130">
        <f t="shared" si="64"/>
        <v>884000000</v>
      </c>
      <c r="G44" s="130">
        <f t="shared" si="64"/>
        <v>884000000</v>
      </c>
      <c r="H44" s="130">
        <f t="shared" si="64"/>
        <v>0</v>
      </c>
      <c r="I44" s="130">
        <f t="shared" si="64"/>
        <v>0</v>
      </c>
      <c r="J44" s="130">
        <f t="shared" si="64"/>
        <v>0</v>
      </c>
      <c r="K44" s="130">
        <f t="shared" si="64"/>
        <v>0</v>
      </c>
      <c r="L44" s="130">
        <f t="shared" si="64"/>
        <v>8000000</v>
      </c>
      <c r="M44" s="130">
        <f t="shared" si="64"/>
        <v>8000000</v>
      </c>
      <c r="N44" s="130">
        <f t="shared" si="64"/>
        <v>0</v>
      </c>
      <c r="O44" s="130">
        <f t="shared" si="64"/>
        <v>8000000</v>
      </c>
      <c r="P44" s="130">
        <f t="shared" si="64"/>
        <v>8000000</v>
      </c>
      <c r="Q44" s="130">
        <f t="shared" si="64"/>
        <v>0</v>
      </c>
      <c r="R44" s="130">
        <f t="shared" si="64"/>
        <v>0</v>
      </c>
      <c r="S44" s="130">
        <f t="shared" si="64"/>
        <v>0</v>
      </c>
      <c r="T44" s="130">
        <f t="shared" si="64"/>
        <v>0</v>
      </c>
      <c r="U44" s="130">
        <f t="shared" si="64"/>
        <v>840000000</v>
      </c>
      <c r="V44" s="130">
        <f t="shared" si="64"/>
        <v>840000000</v>
      </c>
      <c r="W44" s="130">
        <f t="shared" si="64"/>
        <v>0</v>
      </c>
      <c r="X44" s="130">
        <f t="shared" si="64"/>
        <v>840000000</v>
      </c>
      <c r="Y44" s="130">
        <f t="shared" si="64"/>
        <v>840000000</v>
      </c>
      <c r="Z44" s="130">
        <f t="shared" si="64"/>
        <v>0</v>
      </c>
      <c r="AA44" s="130">
        <f t="shared" si="64"/>
        <v>0</v>
      </c>
      <c r="AB44" s="130">
        <f t="shared" si="64"/>
        <v>0</v>
      </c>
      <c r="AC44" s="130">
        <f t="shared" si="64"/>
        <v>0</v>
      </c>
      <c r="AD44" s="612"/>
    </row>
    <row r="45" spans="1:30" s="600" customFormat="1" ht="31.5" customHeight="1" x14ac:dyDescent="0.25">
      <c r="A45" s="116" t="s">
        <v>74</v>
      </c>
      <c r="B45" s="131" t="s">
        <v>308</v>
      </c>
      <c r="C45" s="130">
        <f t="shared" ref="C45" si="65">D45+E45</f>
        <v>884000000</v>
      </c>
      <c r="D45" s="130">
        <f t="shared" ref="D45:E45" si="66">G45+J45</f>
        <v>884000000</v>
      </c>
      <c r="E45" s="130">
        <f t="shared" si="66"/>
        <v>0</v>
      </c>
      <c r="F45" s="130">
        <f>G45+H45</f>
        <v>884000000</v>
      </c>
      <c r="G45" s="130">
        <v>884000000</v>
      </c>
      <c r="H45" s="130"/>
      <c r="I45" s="130"/>
      <c r="J45" s="130"/>
      <c r="K45" s="130"/>
      <c r="L45" s="130">
        <f>M45+N45</f>
        <v>8000000</v>
      </c>
      <c r="M45" s="130">
        <v>8000000</v>
      </c>
      <c r="N45" s="130"/>
      <c r="O45" s="130">
        <f>P45+Q45</f>
        <v>8000000</v>
      </c>
      <c r="P45" s="130">
        <v>8000000</v>
      </c>
      <c r="Q45" s="130"/>
      <c r="R45" s="130"/>
      <c r="S45" s="130"/>
      <c r="T45" s="130"/>
      <c r="U45" s="130">
        <f t="shared" ref="U45" si="67">V45+W45</f>
        <v>840000000</v>
      </c>
      <c r="V45" s="130">
        <f t="shared" ref="V45" si="68">Y45+AB45</f>
        <v>840000000</v>
      </c>
      <c r="W45" s="130">
        <f t="shared" ref="W45" si="69">Z45+AC45</f>
        <v>0</v>
      </c>
      <c r="X45" s="130">
        <f>Y45+Z45</f>
        <v>840000000</v>
      </c>
      <c r="Y45" s="130">
        <f>884000000-44000000</f>
        <v>840000000</v>
      </c>
      <c r="Z45" s="130"/>
      <c r="AA45" s="130"/>
      <c r="AB45" s="130"/>
      <c r="AC45" s="130"/>
      <c r="AD45" s="612"/>
    </row>
    <row r="46" spans="1:30" s="599" customFormat="1" ht="48.75" customHeight="1" x14ac:dyDescent="0.25">
      <c r="A46" s="100">
        <v>4</v>
      </c>
      <c r="B46" s="598" t="s">
        <v>309</v>
      </c>
      <c r="C46" s="585">
        <f>C47</f>
        <v>315000000</v>
      </c>
      <c r="D46" s="585">
        <f t="shared" ref="D46:AC46" si="70">D47</f>
        <v>296000000</v>
      </c>
      <c r="E46" s="585">
        <f t="shared" si="70"/>
        <v>19000000</v>
      </c>
      <c r="F46" s="585">
        <f t="shared" si="70"/>
        <v>0</v>
      </c>
      <c r="G46" s="585">
        <f t="shared" si="70"/>
        <v>0</v>
      </c>
      <c r="H46" s="585">
        <f t="shared" si="70"/>
        <v>0</v>
      </c>
      <c r="I46" s="585">
        <f t="shared" si="70"/>
        <v>315000000</v>
      </c>
      <c r="J46" s="585">
        <f t="shared" si="70"/>
        <v>296000000</v>
      </c>
      <c r="K46" s="585">
        <f t="shared" si="70"/>
        <v>19000000</v>
      </c>
      <c r="L46" s="585">
        <f t="shared" si="70"/>
        <v>0</v>
      </c>
      <c r="M46" s="585">
        <f t="shared" si="70"/>
        <v>0</v>
      </c>
      <c r="N46" s="585">
        <f t="shared" si="70"/>
        <v>0</v>
      </c>
      <c r="O46" s="585">
        <f t="shared" si="70"/>
        <v>0</v>
      </c>
      <c r="P46" s="585">
        <f t="shared" si="70"/>
        <v>0</v>
      </c>
      <c r="Q46" s="585">
        <f t="shared" si="70"/>
        <v>0</v>
      </c>
      <c r="R46" s="585">
        <f t="shared" si="70"/>
        <v>0</v>
      </c>
      <c r="S46" s="585">
        <f t="shared" si="70"/>
        <v>0</v>
      </c>
      <c r="T46" s="585">
        <f t="shared" si="70"/>
        <v>0</v>
      </c>
      <c r="U46" s="585">
        <f t="shared" si="70"/>
        <v>315000000</v>
      </c>
      <c r="V46" s="585">
        <f t="shared" si="70"/>
        <v>296000000</v>
      </c>
      <c r="W46" s="585">
        <f t="shared" si="70"/>
        <v>19000000</v>
      </c>
      <c r="X46" s="585">
        <f t="shared" si="70"/>
        <v>0</v>
      </c>
      <c r="Y46" s="585">
        <f t="shared" si="70"/>
        <v>0</v>
      </c>
      <c r="Z46" s="585">
        <f t="shared" si="70"/>
        <v>0</v>
      </c>
      <c r="AA46" s="585">
        <f t="shared" si="70"/>
        <v>315000000</v>
      </c>
      <c r="AB46" s="585">
        <f t="shared" si="70"/>
        <v>296000000</v>
      </c>
      <c r="AC46" s="585">
        <f t="shared" si="70"/>
        <v>19000000</v>
      </c>
      <c r="AD46" s="606">
        <f>U46/C46</f>
        <v>1</v>
      </c>
    </row>
    <row r="47" spans="1:30" s="600" customFormat="1" ht="24" customHeight="1" x14ac:dyDescent="0.25">
      <c r="A47" s="116" t="s">
        <v>74</v>
      </c>
      <c r="B47" s="131" t="s">
        <v>197</v>
      </c>
      <c r="C47" s="130">
        <f t="shared" ref="C47" si="71">D47+E47</f>
        <v>315000000</v>
      </c>
      <c r="D47" s="130">
        <f t="shared" ref="D47:E47" si="72">G47+J47</f>
        <v>296000000</v>
      </c>
      <c r="E47" s="130">
        <f t="shared" si="72"/>
        <v>19000000</v>
      </c>
      <c r="F47" s="130"/>
      <c r="G47" s="130"/>
      <c r="H47" s="130"/>
      <c r="I47" s="130">
        <v>315000000</v>
      </c>
      <c r="J47" s="130">
        <v>296000000</v>
      </c>
      <c r="K47" s="130">
        <v>19000000</v>
      </c>
      <c r="L47" s="130"/>
      <c r="M47" s="130"/>
      <c r="N47" s="130"/>
      <c r="O47" s="130"/>
      <c r="P47" s="130"/>
      <c r="Q47" s="130"/>
      <c r="R47" s="130"/>
      <c r="S47" s="130"/>
      <c r="T47" s="130"/>
      <c r="U47" s="130">
        <f t="shared" ref="U47" si="73">V47+W47</f>
        <v>315000000</v>
      </c>
      <c r="V47" s="130">
        <f t="shared" ref="V47" si="74">Y47+AB47</f>
        <v>296000000</v>
      </c>
      <c r="W47" s="130">
        <f t="shared" ref="W47" si="75">Z47+AC47</f>
        <v>19000000</v>
      </c>
      <c r="X47" s="130"/>
      <c r="Y47" s="130"/>
      <c r="Z47" s="130"/>
      <c r="AA47" s="130">
        <v>315000000</v>
      </c>
      <c r="AB47" s="130">
        <v>296000000</v>
      </c>
      <c r="AC47" s="130">
        <v>19000000</v>
      </c>
      <c r="AD47" s="612"/>
    </row>
    <row r="48" spans="1:30" s="601" customFormat="1" ht="78" customHeight="1" x14ac:dyDescent="0.25">
      <c r="A48" s="100">
        <v>5</v>
      </c>
      <c r="B48" s="598" t="s">
        <v>310</v>
      </c>
      <c r="C48" s="585">
        <f>C49</f>
        <v>30000000</v>
      </c>
      <c r="D48" s="585">
        <f t="shared" ref="D48:AC49" si="76">D49</f>
        <v>30000000</v>
      </c>
      <c r="E48" s="585">
        <f t="shared" si="76"/>
        <v>0</v>
      </c>
      <c r="F48" s="585">
        <f t="shared" si="76"/>
        <v>0</v>
      </c>
      <c r="G48" s="585">
        <f t="shared" si="76"/>
        <v>0</v>
      </c>
      <c r="H48" s="585">
        <f t="shared" si="76"/>
        <v>0</v>
      </c>
      <c r="I48" s="585">
        <f t="shared" si="76"/>
        <v>30000000</v>
      </c>
      <c r="J48" s="585">
        <f t="shared" si="76"/>
        <v>30000000</v>
      </c>
      <c r="K48" s="585">
        <f t="shared" si="76"/>
        <v>0</v>
      </c>
      <c r="L48" s="585">
        <f t="shared" si="76"/>
        <v>0</v>
      </c>
      <c r="M48" s="585">
        <f t="shared" si="76"/>
        <v>0</v>
      </c>
      <c r="N48" s="585">
        <f t="shared" si="76"/>
        <v>0</v>
      </c>
      <c r="O48" s="585">
        <f t="shared" si="76"/>
        <v>0</v>
      </c>
      <c r="P48" s="585">
        <f t="shared" si="76"/>
        <v>0</v>
      </c>
      <c r="Q48" s="585">
        <f t="shared" si="76"/>
        <v>0</v>
      </c>
      <c r="R48" s="585">
        <f t="shared" si="76"/>
        <v>0</v>
      </c>
      <c r="S48" s="585">
        <f t="shared" si="76"/>
        <v>0</v>
      </c>
      <c r="T48" s="585">
        <f t="shared" si="76"/>
        <v>0</v>
      </c>
      <c r="U48" s="585">
        <f t="shared" si="76"/>
        <v>30000000</v>
      </c>
      <c r="V48" s="585">
        <f t="shared" si="76"/>
        <v>30000000</v>
      </c>
      <c r="W48" s="585">
        <f t="shared" si="76"/>
        <v>0</v>
      </c>
      <c r="X48" s="585">
        <f t="shared" si="76"/>
        <v>0</v>
      </c>
      <c r="Y48" s="585">
        <f t="shared" si="76"/>
        <v>0</v>
      </c>
      <c r="Z48" s="585">
        <f t="shared" si="76"/>
        <v>0</v>
      </c>
      <c r="AA48" s="585">
        <f t="shared" si="76"/>
        <v>30000000</v>
      </c>
      <c r="AB48" s="585">
        <f t="shared" si="76"/>
        <v>30000000</v>
      </c>
      <c r="AC48" s="585">
        <f t="shared" si="76"/>
        <v>0</v>
      </c>
      <c r="AD48" s="606">
        <f>U48/C48</f>
        <v>1</v>
      </c>
    </row>
    <row r="49" spans="1:30" ht="39" customHeight="1" x14ac:dyDescent="0.25">
      <c r="A49" s="116" t="s">
        <v>287</v>
      </c>
      <c r="B49" s="131" t="s">
        <v>311</v>
      </c>
      <c r="C49" s="130">
        <f>C50</f>
        <v>30000000</v>
      </c>
      <c r="D49" s="130">
        <f t="shared" si="76"/>
        <v>30000000</v>
      </c>
      <c r="E49" s="130">
        <f t="shared" si="76"/>
        <v>0</v>
      </c>
      <c r="F49" s="130">
        <f t="shared" si="76"/>
        <v>0</v>
      </c>
      <c r="G49" s="130">
        <f t="shared" si="76"/>
        <v>0</v>
      </c>
      <c r="H49" s="130">
        <f t="shared" si="76"/>
        <v>0</v>
      </c>
      <c r="I49" s="130">
        <f t="shared" si="76"/>
        <v>30000000</v>
      </c>
      <c r="J49" s="130">
        <f t="shared" si="76"/>
        <v>30000000</v>
      </c>
      <c r="K49" s="130">
        <f t="shared" si="76"/>
        <v>0</v>
      </c>
      <c r="L49" s="130">
        <f t="shared" si="76"/>
        <v>0</v>
      </c>
      <c r="M49" s="130">
        <f t="shared" si="76"/>
        <v>0</v>
      </c>
      <c r="N49" s="130">
        <f t="shared" si="76"/>
        <v>0</v>
      </c>
      <c r="O49" s="130">
        <f t="shared" si="76"/>
        <v>0</v>
      </c>
      <c r="P49" s="130">
        <f t="shared" si="76"/>
        <v>0</v>
      </c>
      <c r="Q49" s="130">
        <f t="shared" si="76"/>
        <v>0</v>
      </c>
      <c r="R49" s="130">
        <f t="shared" si="76"/>
        <v>0</v>
      </c>
      <c r="S49" s="130">
        <f t="shared" si="76"/>
        <v>0</v>
      </c>
      <c r="T49" s="130">
        <f t="shared" si="76"/>
        <v>0</v>
      </c>
      <c r="U49" s="130">
        <f t="shared" si="76"/>
        <v>30000000</v>
      </c>
      <c r="V49" s="130">
        <f t="shared" si="76"/>
        <v>30000000</v>
      </c>
      <c r="W49" s="130">
        <f t="shared" si="76"/>
        <v>0</v>
      </c>
      <c r="X49" s="130">
        <f t="shared" si="76"/>
        <v>0</v>
      </c>
      <c r="Y49" s="130">
        <f t="shared" si="76"/>
        <v>0</v>
      </c>
      <c r="Z49" s="130">
        <f t="shared" si="76"/>
        <v>0</v>
      </c>
      <c r="AA49" s="130">
        <f t="shared" si="76"/>
        <v>30000000</v>
      </c>
      <c r="AB49" s="130">
        <f t="shared" si="76"/>
        <v>30000000</v>
      </c>
      <c r="AC49" s="130">
        <f t="shared" si="76"/>
        <v>0</v>
      </c>
      <c r="AD49" s="613"/>
    </row>
    <row r="50" spans="1:30" ht="21.75" customHeight="1" x14ac:dyDescent="0.25">
      <c r="A50" s="116" t="s">
        <v>74</v>
      </c>
      <c r="B50" s="131" t="s">
        <v>197</v>
      </c>
      <c r="C50" s="130">
        <f t="shared" ref="C50" si="77">D50+E50</f>
        <v>30000000</v>
      </c>
      <c r="D50" s="130">
        <f t="shared" ref="D50:E50" si="78">G50+J50</f>
        <v>30000000</v>
      </c>
      <c r="E50" s="130">
        <f t="shared" si="78"/>
        <v>0</v>
      </c>
      <c r="F50" s="130"/>
      <c r="G50" s="130"/>
      <c r="H50" s="130"/>
      <c r="I50" s="130">
        <v>30000000</v>
      </c>
      <c r="J50" s="130">
        <v>30000000</v>
      </c>
      <c r="K50" s="130"/>
      <c r="L50" s="130"/>
      <c r="M50" s="130"/>
      <c r="N50" s="130"/>
      <c r="O50" s="130"/>
      <c r="P50" s="130"/>
      <c r="Q50" s="130"/>
      <c r="R50" s="130"/>
      <c r="S50" s="130"/>
      <c r="T50" s="130"/>
      <c r="U50" s="130">
        <f t="shared" ref="U50" si="79">V50+W50</f>
        <v>30000000</v>
      </c>
      <c r="V50" s="130">
        <f t="shared" ref="V50" si="80">Y50+AB50</f>
        <v>30000000</v>
      </c>
      <c r="W50" s="130">
        <f t="shared" ref="W50" si="81">Z50+AC50</f>
        <v>0</v>
      </c>
      <c r="X50" s="130"/>
      <c r="Y50" s="130"/>
      <c r="Z50" s="130"/>
      <c r="AA50" s="130">
        <v>30000000</v>
      </c>
      <c r="AB50" s="130">
        <v>30000000</v>
      </c>
      <c r="AC50" s="130"/>
      <c r="AD50" s="613"/>
    </row>
    <row r="51" spans="1:30" s="591" customFormat="1" ht="30" customHeight="1" x14ac:dyDescent="0.25">
      <c r="A51" s="588" t="s">
        <v>49</v>
      </c>
      <c r="B51" s="589" t="s">
        <v>278</v>
      </c>
      <c r="C51" s="590">
        <f>C52+C54+C56+C59</f>
        <v>897315600</v>
      </c>
      <c r="D51" s="590">
        <f t="shared" ref="D51:AC51" si="82">D52+D54+D56+D59</f>
        <v>843315600</v>
      </c>
      <c r="E51" s="590">
        <f t="shared" si="82"/>
        <v>54000000</v>
      </c>
      <c r="F51" s="590">
        <f t="shared" si="82"/>
        <v>450315600</v>
      </c>
      <c r="G51" s="590">
        <f t="shared" si="82"/>
        <v>418315600</v>
      </c>
      <c r="H51" s="590">
        <f t="shared" si="82"/>
        <v>32000000</v>
      </c>
      <c r="I51" s="590">
        <f t="shared" si="82"/>
        <v>447000000</v>
      </c>
      <c r="J51" s="590">
        <f t="shared" si="82"/>
        <v>425000000</v>
      </c>
      <c r="K51" s="590">
        <f t="shared" si="82"/>
        <v>22000000</v>
      </c>
      <c r="L51" s="590">
        <f t="shared" si="82"/>
        <v>184757760</v>
      </c>
      <c r="M51" s="590">
        <f t="shared" si="82"/>
        <v>184757760</v>
      </c>
      <c r="N51" s="590">
        <f t="shared" si="82"/>
        <v>0</v>
      </c>
      <c r="O51" s="590">
        <f t="shared" si="82"/>
        <v>184757760</v>
      </c>
      <c r="P51" s="590">
        <f t="shared" si="82"/>
        <v>184757760</v>
      </c>
      <c r="Q51" s="590">
        <f t="shared" si="82"/>
        <v>0</v>
      </c>
      <c r="R51" s="590">
        <f t="shared" si="82"/>
        <v>0</v>
      </c>
      <c r="S51" s="590">
        <f t="shared" si="82"/>
        <v>0</v>
      </c>
      <c r="T51" s="590">
        <f t="shared" si="82"/>
        <v>0</v>
      </c>
      <c r="U51" s="590">
        <f t="shared" si="82"/>
        <v>647357760</v>
      </c>
      <c r="V51" s="590">
        <f t="shared" si="82"/>
        <v>625357760</v>
      </c>
      <c r="W51" s="590">
        <f t="shared" si="82"/>
        <v>22000000</v>
      </c>
      <c r="X51" s="590">
        <f t="shared" si="82"/>
        <v>204757760</v>
      </c>
      <c r="Y51" s="590">
        <f t="shared" si="82"/>
        <v>204757760</v>
      </c>
      <c r="Z51" s="590">
        <f t="shared" si="82"/>
        <v>0</v>
      </c>
      <c r="AA51" s="590">
        <f t="shared" si="82"/>
        <v>442600000</v>
      </c>
      <c r="AB51" s="590">
        <f t="shared" si="82"/>
        <v>420600000</v>
      </c>
      <c r="AC51" s="590">
        <f t="shared" si="82"/>
        <v>22000000</v>
      </c>
      <c r="AD51" s="607">
        <f>U51/C51</f>
        <v>0.72143820970013228</v>
      </c>
    </row>
    <row r="52" spans="1:30" s="601" customFormat="1" ht="45.75" customHeight="1" x14ac:dyDescent="0.25">
      <c r="A52" s="100">
        <v>1</v>
      </c>
      <c r="B52" s="598" t="s">
        <v>312</v>
      </c>
      <c r="C52" s="585">
        <f>C53</f>
        <v>426315600</v>
      </c>
      <c r="D52" s="585">
        <f t="shared" ref="D52:AC52" si="83">D53</f>
        <v>394315600</v>
      </c>
      <c r="E52" s="585">
        <f t="shared" si="83"/>
        <v>32000000</v>
      </c>
      <c r="F52" s="585">
        <f t="shared" si="83"/>
        <v>426315600</v>
      </c>
      <c r="G52" s="585">
        <f t="shared" si="83"/>
        <v>394315600</v>
      </c>
      <c r="H52" s="585">
        <f t="shared" si="83"/>
        <v>32000000</v>
      </c>
      <c r="I52" s="585">
        <f t="shared" si="83"/>
        <v>0</v>
      </c>
      <c r="J52" s="585">
        <f t="shared" si="83"/>
        <v>0</v>
      </c>
      <c r="K52" s="585">
        <f t="shared" si="83"/>
        <v>0</v>
      </c>
      <c r="L52" s="585">
        <f t="shared" si="83"/>
        <v>184757760</v>
      </c>
      <c r="M52" s="585">
        <f t="shared" si="83"/>
        <v>184757760</v>
      </c>
      <c r="N52" s="585">
        <f t="shared" si="83"/>
        <v>0</v>
      </c>
      <c r="O52" s="585">
        <f t="shared" si="83"/>
        <v>184757760</v>
      </c>
      <c r="P52" s="585">
        <f t="shared" si="83"/>
        <v>184757760</v>
      </c>
      <c r="Q52" s="585">
        <f t="shared" si="83"/>
        <v>0</v>
      </c>
      <c r="R52" s="585">
        <f t="shared" si="83"/>
        <v>0</v>
      </c>
      <c r="S52" s="585">
        <f t="shared" si="83"/>
        <v>0</v>
      </c>
      <c r="T52" s="585">
        <f t="shared" si="83"/>
        <v>0</v>
      </c>
      <c r="U52" s="585">
        <f t="shared" si="83"/>
        <v>184757760</v>
      </c>
      <c r="V52" s="585">
        <f t="shared" si="83"/>
        <v>184757760</v>
      </c>
      <c r="W52" s="585">
        <f t="shared" si="83"/>
        <v>0</v>
      </c>
      <c r="X52" s="585">
        <f t="shared" si="83"/>
        <v>184757760</v>
      </c>
      <c r="Y52" s="585">
        <f t="shared" si="83"/>
        <v>184757760</v>
      </c>
      <c r="Z52" s="585">
        <f t="shared" si="83"/>
        <v>0</v>
      </c>
      <c r="AA52" s="585">
        <f t="shared" si="83"/>
        <v>0</v>
      </c>
      <c r="AB52" s="585">
        <f t="shared" si="83"/>
        <v>0</v>
      </c>
      <c r="AC52" s="585">
        <f t="shared" si="83"/>
        <v>0</v>
      </c>
      <c r="AD52" s="606">
        <f>U52/C52</f>
        <v>0.43338259261448558</v>
      </c>
    </row>
    <row r="53" spans="1:30" ht="23.25" customHeight="1" x14ac:dyDescent="0.25">
      <c r="A53" s="116" t="s">
        <v>74</v>
      </c>
      <c r="B53" s="131" t="s">
        <v>313</v>
      </c>
      <c r="C53" s="130">
        <f t="shared" ref="C53" si="84">D53+E53</f>
        <v>426315600</v>
      </c>
      <c r="D53" s="130">
        <f t="shared" ref="D53:E53" si="85">G53+J53</f>
        <v>394315600</v>
      </c>
      <c r="E53" s="130">
        <f t="shared" si="85"/>
        <v>32000000</v>
      </c>
      <c r="F53" s="130">
        <v>426315600</v>
      </c>
      <c r="G53" s="130">
        <v>394315600</v>
      </c>
      <c r="H53" s="130">
        <v>32000000</v>
      </c>
      <c r="I53" s="130"/>
      <c r="J53" s="130"/>
      <c r="K53" s="130"/>
      <c r="L53" s="130">
        <f>M53+N53</f>
        <v>184757760</v>
      </c>
      <c r="M53" s="130">
        <f>P53+S53</f>
        <v>184757760</v>
      </c>
      <c r="N53" s="130">
        <f>Q53+T53</f>
        <v>0</v>
      </c>
      <c r="O53" s="130">
        <f>P53+Q53</f>
        <v>184757760</v>
      </c>
      <c r="P53" s="130">
        <v>184757760</v>
      </c>
      <c r="Q53" s="130"/>
      <c r="R53" s="130"/>
      <c r="S53" s="130"/>
      <c r="T53" s="130"/>
      <c r="U53" s="130">
        <f>V53+W53</f>
        <v>184757760</v>
      </c>
      <c r="V53" s="130">
        <f>Y53+AB53</f>
        <v>184757760</v>
      </c>
      <c r="W53" s="130">
        <f>Z53+AC53</f>
        <v>0</v>
      </c>
      <c r="X53" s="130">
        <f>Y53+Z53</f>
        <v>184757760</v>
      </c>
      <c r="Y53" s="130">
        <v>184757760</v>
      </c>
      <c r="Z53" s="130"/>
      <c r="AA53" s="130"/>
      <c r="AB53" s="130"/>
      <c r="AC53" s="130"/>
      <c r="AD53" s="613"/>
    </row>
    <row r="54" spans="1:30" s="601" customFormat="1" ht="89.25" customHeight="1" x14ac:dyDescent="0.25">
      <c r="A54" s="100">
        <v>2</v>
      </c>
      <c r="B54" s="598" t="s">
        <v>314</v>
      </c>
      <c r="C54" s="585">
        <f>C55</f>
        <v>400000000</v>
      </c>
      <c r="D54" s="585">
        <f t="shared" ref="D54:AC54" si="86">D55</f>
        <v>381000000</v>
      </c>
      <c r="E54" s="585">
        <f t="shared" si="86"/>
        <v>19000000</v>
      </c>
      <c r="F54" s="585">
        <f t="shared" si="86"/>
        <v>0</v>
      </c>
      <c r="G54" s="585">
        <f t="shared" si="86"/>
        <v>0</v>
      </c>
      <c r="H54" s="585">
        <f t="shared" si="86"/>
        <v>0</v>
      </c>
      <c r="I54" s="585">
        <f t="shared" si="86"/>
        <v>400000000</v>
      </c>
      <c r="J54" s="585">
        <f t="shared" si="86"/>
        <v>381000000</v>
      </c>
      <c r="K54" s="585">
        <f t="shared" si="86"/>
        <v>19000000</v>
      </c>
      <c r="L54" s="585">
        <f t="shared" si="86"/>
        <v>0</v>
      </c>
      <c r="M54" s="585">
        <f t="shared" si="86"/>
        <v>0</v>
      </c>
      <c r="N54" s="585">
        <f t="shared" si="86"/>
        <v>0</v>
      </c>
      <c r="O54" s="585">
        <f t="shared" si="86"/>
        <v>0</v>
      </c>
      <c r="P54" s="585">
        <f t="shared" si="86"/>
        <v>0</v>
      </c>
      <c r="Q54" s="585">
        <f t="shared" si="86"/>
        <v>0</v>
      </c>
      <c r="R54" s="585">
        <f t="shared" si="86"/>
        <v>0</v>
      </c>
      <c r="S54" s="585">
        <f t="shared" si="86"/>
        <v>0</v>
      </c>
      <c r="T54" s="585">
        <f t="shared" si="86"/>
        <v>0</v>
      </c>
      <c r="U54" s="585">
        <f t="shared" si="86"/>
        <v>400000000</v>
      </c>
      <c r="V54" s="585">
        <f t="shared" si="86"/>
        <v>381000000</v>
      </c>
      <c r="W54" s="585">
        <f t="shared" si="86"/>
        <v>19000000</v>
      </c>
      <c r="X54" s="585">
        <f t="shared" si="86"/>
        <v>0</v>
      </c>
      <c r="Y54" s="585">
        <f t="shared" si="86"/>
        <v>0</v>
      </c>
      <c r="Z54" s="585">
        <f t="shared" si="86"/>
        <v>0</v>
      </c>
      <c r="AA54" s="585">
        <f t="shared" si="86"/>
        <v>400000000</v>
      </c>
      <c r="AB54" s="585">
        <f t="shared" si="86"/>
        <v>381000000</v>
      </c>
      <c r="AC54" s="585">
        <f t="shared" si="86"/>
        <v>19000000</v>
      </c>
      <c r="AD54" s="606">
        <f>U54/C54</f>
        <v>1</v>
      </c>
    </row>
    <row r="55" spans="1:30" ht="22.5" customHeight="1" x14ac:dyDescent="0.25">
      <c r="A55" s="116" t="s">
        <v>74</v>
      </c>
      <c r="B55" s="131" t="s">
        <v>196</v>
      </c>
      <c r="C55" s="130">
        <f t="shared" ref="C55" si="87">D55+E55</f>
        <v>400000000</v>
      </c>
      <c r="D55" s="130">
        <f t="shared" ref="D55:E55" si="88">G55+J55</f>
        <v>381000000</v>
      </c>
      <c r="E55" s="130">
        <f t="shared" si="88"/>
        <v>19000000</v>
      </c>
      <c r="F55" s="130"/>
      <c r="G55" s="130"/>
      <c r="H55" s="130"/>
      <c r="I55" s="130">
        <v>400000000</v>
      </c>
      <c r="J55" s="130">
        <v>381000000</v>
      </c>
      <c r="K55" s="130">
        <v>19000000</v>
      </c>
      <c r="L55" s="130"/>
      <c r="M55" s="130"/>
      <c r="N55" s="130"/>
      <c r="O55" s="130"/>
      <c r="P55" s="130"/>
      <c r="Q55" s="130"/>
      <c r="R55" s="130"/>
      <c r="S55" s="130"/>
      <c r="T55" s="130"/>
      <c r="U55" s="130">
        <f t="shared" ref="U55" si="89">V55+W55</f>
        <v>400000000</v>
      </c>
      <c r="V55" s="130">
        <f t="shared" ref="V55" si="90">Y55+AB55</f>
        <v>381000000</v>
      </c>
      <c r="W55" s="130">
        <f t="shared" ref="W55" si="91">Z55+AC55</f>
        <v>19000000</v>
      </c>
      <c r="X55" s="130"/>
      <c r="Y55" s="130"/>
      <c r="Z55" s="130"/>
      <c r="AA55" s="130">
        <v>400000000</v>
      </c>
      <c r="AB55" s="130">
        <v>381000000</v>
      </c>
      <c r="AC55" s="130">
        <v>19000000</v>
      </c>
      <c r="AD55" s="613"/>
    </row>
    <row r="56" spans="1:30" s="601" customFormat="1" ht="72" customHeight="1" x14ac:dyDescent="0.25">
      <c r="A56" s="100">
        <v>3</v>
      </c>
      <c r="B56" s="598" t="s">
        <v>899</v>
      </c>
      <c r="C56" s="585">
        <f>C57</f>
        <v>24000000</v>
      </c>
      <c r="D56" s="585">
        <f t="shared" ref="D56:AB57" si="92">D57</f>
        <v>24000000</v>
      </c>
      <c r="E56" s="585">
        <f t="shared" si="92"/>
        <v>0</v>
      </c>
      <c r="F56" s="585">
        <f t="shared" si="92"/>
        <v>24000000</v>
      </c>
      <c r="G56" s="585">
        <f t="shared" si="92"/>
        <v>24000000</v>
      </c>
      <c r="H56" s="585">
        <f t="shared" si="92"/>
        <v>0</v>
      </c>
      <c r="I56" s="585">
        <f t="shared" si="92"/>
        <v>0</v>
      </c>
      <c r="J56" s="585">
        <f t="shared" si="92"/>
        <v>0</v>
      </c>
      <c r="K56" s="585">
        <f t="shared" si="92"/>
        <v>0</v>
      </c>
      <c r="L56" s="585">
        <f t="shared" si="92"/>
        <v>0</v>
      </c>
      <c r="M56" s="585">
        <f t="shared" si="92"/>
        <v>0</v>
      </c>
      <c r="N56" s="585">
        <f t="shared" si="92"/>
        <v>0</v>
      </c>
      <c r="O56" s="585">
        <f t="shared" si="92"/>
        <v>0</v>
      </c>
      <c r="P56" s="585">
        <f t="shared" si="92"/>
        <v>0</v>
      </c>
      <c r="Q56" s="585">
        <f t="shared" si="92"/>
        <v>0</v>
      </c>
      <c r="R56" s="585">
        <f t="shared" si="92"/>
        <v>0</v>
      </c>
      <c r="S56" s="585">
        <f t="shared" si="92"/>
        <v>0</v>
      </c>
      <c r="T56" s="585">
        <f t="shared" si="92"/>
        <v>0</v>
      </c>
      <c r="U56" s="585">
        <f t="shared" si="92"/>
        <v>20000000</v>
      </c>
      <c r="V56" s="585">
        <f t="shared" si="92"/>
        <v>20000000</v>
      </c>
      <c r="W56" s="585">
        <f t="shared" si="92"/>
        <v>0</v>
      </c>
      <c r="X56" s="585">
        <f t="shared" si="92"/>
        <v>20000000</v>
      </c>
      <c r="Y56" s="585">
        <f t="shared" si="92"/>
        <v>20000000</v>
      </c>
      <c r="Z56" s="585">
        <f t="shared" si="92"/>
        <v>0</v>
      </c>
      <c r="AA56" s="585">
        <f t="shared" si="92"/>
        <v>0</v>
      </c>
      <c r="AB56" s="585">
        <f t="shared" si="92"/>
        <v>0</v>
      </c>
      <c r="AC56" s="585">
        <f t="shared" ref="AC56" si="93">AC57</f>
        <v>0</v>
      </c>
      <c r="AD56" s="606">
        <f>U56/C56</f>
        <v>0.83333333333333337</v>
      </c>
    </row>
    <row r="57" spans="1:30" ht="135" hidden="1" x14ac:dyDescent="0.25">
      <c r="A57" s="116" t="s">
        <v>287</v>
      </c>
      <c r="B57" s="131" t="s">
        <v>315</v>
      </c>
      <c r="C57" s="130">
        <f>C58</f>
        <v>24000000</v>
      </c>
      <c r="D57" s="130">
        <f t="shared" si="92"/>
        <v>24000000</v>
      </c>
      <c r="E57" s="130">
        <f t="shared" si="92"/>
        <v>0</v>
      </c>
      <c r="F57" s="130">
        <f t="shared" si="92"/>
        <v>24000000</v>
      </c>
      <c r="G57" s="130">
        <f t="shared" si="92"/>
        <v>24000000</v>
      </c>
      <c r="H57" s="130">
        <f t="shared" si="92"/>
        <v>0</v>
      </c>
      <c r="I57" s="130">
        <f t="shared" si="92"/>
        <v>0</v>
      </c>
      <c r="J57" s="130">
        <f t="shared" si="92"/>
        <v>0</v>
      </c>
      <c r="K57" s="130">
        <f t="shared" si="92"/>
        <v>0</v>
      </c>
      <c r="L57" s="130">
        <f t="shared" si="92"/>
        <v>0</v>
      </c>
      <c r="M57" s="130">
        <f t="shared" si="92"/>
        <v>0</v>
      </c>
      <c r="N57" s="130">
        <f t="shared" si="92"/>
        <v>0</v>
      </c>
      <c r="O57" s="130">
        <f t="shared" si="92"/>
        <v>0</v>
      </c>
      <c r="P57" s="130">
        <f t="shared" si="92"/>
        <v>0</v>
      </c>
      <c r="Q57" s="130">
        <f t="shared" si="92"/>
        <v>0</v>
      </c>
      <c r="R57" s="130">
        <f t="shared" si="92"/>
        <v>0</v>
      </c>
      <c r="S57" s="130">
        <f t="shared" si="92"/>
        <v>0</v>
      </c>
      <c r="T57" s="130">
        <f t="shared" si="92"/>
        <v>0</v>
      </c>
      <c r="U57" s="130">
        <f t="shared" si="92"/>
        <v>20000000</v>
      </c>
      <c r="V57" s="130">
        <f t="shared" si="92"/>
        <v>20000000</v>
      </c>
      <c r="W57" s="130">
        <f t="shared" si="92"/>
        <v>0</v>
      </c>
      <c r="X57" s="130">
        <f t="shared" si="92"/>
        <v>20000000</v>
      </c>
      <c r="Y57" s="130">
        <f t="shared" si="92"/>
        <v>20000000</v>
      </c>
      <c r="Z57" s="130">
        <f t="shared" si="92"/>
        <v>0</v>
      </c>
      <c r="AA57" s="130">
        <f t="shared" si="92"/>
        <v>0</v>
      </c>
      <c r="AB57" s="130">
        <f t="shared" si="92"/>
        <v>0</v>
      </c>
      <c r="AC57" s="130">
        <f t="shared" ref="AC57" si="94">K57-T57</f>
        <v>0</v>
      </c>
      <c r="AD57" s="613"/>
    </row>
    <row r="58" spans="1:30" s="604" customFormat="1" ht="31.5" customHeight="1" x14ac:dyDescent="0.25">
      <c r="A58" s="147" t="s">
        <v>74</v>
      </c>
      <c r="B58" s="603" t="s">
        <v>316</v>
      </c>
      <c r="C58" s="130">
        <f t="shared" ref="C58" si="95">D58+E58</f>
        <v>24000000</v>
      </c>
      <c r="D58" s="130">
        <f t="shared" ref="D58:E58" si="96">G58+J58</f>
        <v>24000000</v>
      </c>
      <c r="E58" s="130">
        <f t="shared" si="96"/>
        <v>0</v>
      </c>
      <c r="F58" s="130">
        <v>24000000</v>
      </c>
      <c r="G58" s="130">
        <v>24000000</v>
      </c>
      <c r="H58" s="130">
        <v>0</v>
      </c>
      <c r="I58" s="130"/>
      <c r="J58" s="130"/>
      <c r="K58" s="130"/>
      <c r="L58" s="130"/>
      <c r="M58" s="130"/>
      <c r="N58" s="130"/>
      <c r="O58" s="130"/>
      <c r="P58" s="130"/>
      <c r="Q58" s="130"/>
      <c r="R58" s="130"/>
      <c r="S58" s="130"/>
      <c r="T58" s="130"/>
      <c r="U58" s="130">
        <f t="shared" ref="U58" si="97">V58+W58</f>
        <v>20000000</v>
      </c>
      <c r="V58" s="130">
        <f t="shared" ref="V58" si="98">Y58+AB58</f>
        <v>20000000</v>
      </c>
      <c r="W58" s="130">
        <f t="shared" ref="W58" si="99">Z58+AC58</f>
        <v>0</v>
      </c>
      <c r="X58" s="130">
        <f>Y58+Z58</f>
        <v>20000000</v>
      </c>
      <c r="Y58" s="130">
        <v>20000000</v>
      </c>
      <c r="Z58" s="130">
        <v>0</v>
      </c>
      <c r="AA58" s="130"/>
      <c r="AB58" s="130"/>
      <c r="AC58" s="130"/>
      <c r="AD58" s="614"/>
    </row>
    <row r="59" spans="1:30" s="601" customFormat="1" ht="98.25" customHeight="1" x14ac:dyDescent="0.25">
      <c r="A59" s="100">
        <v>4</v>
      </c>
      <c r="B59" s="598" t="s">
        <v>317</v>
      </c>
      <c r="C59" s="585">
        <f>C60</f>
        <v>47000000</v>
      </c>
      <c r="D59" s="585">
        <f t="shared" ref="D59:AC59" si="100">D60</f>
        <v>44000000</v>
      </c>
      <c r="E59" s="585">
        <f t="shared" si="100"/>
        <v>3000000</v>
      </c>
      <c r="F59" s="585">
        <f t="shared" si="100"/>
        <v>0</v>
      </c>
      <c r="G59" s="585">
        <f t="shared" si="100"/>
        <v>0</v>
      </c>
      <c r="H59" s="585">
        <f t="shared" si="100"/>
        <v>0</v>
      </c>
      <c r="I59" s="585">
        <f t="shared" si="100"/>
        <v>47000000</v>
      </c>
      <c r="J59" s="585">
        <f t="shared" si="100"/>
        <v>44000000</v>
      </c>
      <c r="K59" s="585">
        <f t="shared" si="100"/>
        <v>3000000</v>
      </c>
      <c r="L59" s="585">
        <f t="shared" si="100"/>
        <v>0</v>
      </c>
      <c r="M59" s="585">
        <f t="shared" si="100"/>
        <v>0</v>
      </c>
      <c r="N59" s="585">
        <f t="shared" si="100"/>
        <v>0</v>
      </c>
      <c r="O59" s="585">
        <f t="shared" si="100"/>
        <v>0</v>
      </c>
      <c r="P59" s="585">
        <f t="shared" si="100"/>
        <v>0</v>
      </c>
      <c r="Q59" s="585">
        <f t="shared" si="100"/>
        <v>0</v>
      </c>
      <c r="R59" s="585">
        <f t="shared" si="100"/>
        <v>0</v>
      </c>
      <c r="S59" s="585">
        <f t="shared" si="100"/>
        <v>0</v>
      </c>
      <c r="T59" s="585">
        <f t="shared" si="100"/>
        <v>0</v>
      </c>
      <c r="U59" s="585">
        <f t="shared" si="100"/>
        <v>42600000</v>
      </c>
      <c r="V59" s="585">
        <f t="shared" si="100"/>
        <v>39600000</v>
      </c>
      <c r="W59" s="585">
        <f t="shared" si="100"/>
        <v>3000000</v>
      </c>
      <c r="X59" s="585">
        <f t="shared" si="100"/>
        <v>0</v>
      </c>
      <c r="Y59" s="585">
        <f t="shared" si="100"/>
        <v>0</v>
      </c>
      <c r="Z59" s="585">
        <f t="shared" si="100"/>
        <v>0</v>
      </c>
      <c r="AA59" s="585">
        <f t="shared" si="100"/>
        <v>42600000</v>
      </c>
      <c r="AB59" s="585">
        <f t="shared" si="100"/>
        <v>39600000</v>
      </c>
      <c r="AC59" s="585">
        <f t="shared" si="100"/>
        <v>3000000</v>
      </c>
      <c r="AD59" s="606">
        <f>U59/C59</f>
        <v>0.90638297872340423</v>
      </c>
    </row>
    <row r="60" spans="1:30" ht="21.75" customHeight="1" x14ac:dyDescent="0.25">
      <c r="A60" s="116" t="s">
        <v>74</v>
      </c>
      <c r="B60" s="131" t="s">
        <v>196</v>
      </c>
      <c r="C60" s="130">
        <f t="shared" ref="C60" si="101">D60+E60</f>
        <v>47000000</v>
      </c>
      <c r="D60" s="130">
        <f t="shared" ref="D60:E60" si="102">G60+J60</f>
        <v>44000000</v>
      </c>
      <c r="E60" s="130">
        <f t="shared" si="102"/>
        <v>3000000</v>
      </c>
      <c r="F60" s="130"/>
      <c r="G60" s="130"/>
      <c r="H60" s="130"/>
      <c r="I60" s="130">
        <f>J60+K60</f>
        <v>47000000</v>
      </c>
      <c r="J60" s="130">
        <v>44000000</v>
      </c>
      <c r="K60" s="130">
        <v>3000000</v>
      </c>
      <c r="L60" s="130"/>
      <c r="M60" s="130"/>
      <c r="N60" s="130"/>
      <c r="O60" s="130"/>
      <c r="P60" s="130"/>
      <c r="Q60" s="130"/>
      <c r="R60" s="130"/>
      <c r="S60" s="130"/>
      <c r="T60" s="130"/>
      <c r="U60" s="130">
        <f t="shared" ref="U60" si="103">V60+W60</f>
        <v>42600000</v>
      </c>
      <c r="V60" s="130">
        <f t="shared" ref="V60" si="104">Y60+AB60</f>
        <v>39600000</v>
      </c>
      <c r="W60" s="130">
        <f t="shared" ref="W60" si="105">Z60+AC60</f>
        <v>3000000</v>
      </c>
      <c r="X60" s="130"/>
      <c r="Y60" s="130"/>
      <c r="Z60" s="130"/>
      <c r="AA60" s="130">
        <f>AB60+AC60</f>
        <v>42600000</v>
      </c>
      <c r="AB60" s="130">
        <f>44000000*0.9</f>
        <v>39600000</v>
      </c>
      <c r="AC60" s="130">
        <v>3000000</v>
      </c>
      <c r="AD60" s="613"/>
    </row>
  </sheetData>
  <mergeCells count="25">
    <mergeCell ref="AD5:AD7"/>
    <mergeCell ref="A1:AD1"/>
    <mergeCell ref="A2:AC2"/>
    <mergeCell ref="F4:AC4"/>
    <mergeCell ref="A5:A7"/>
    <mergeCell ref="B5:B7"/>
    <mergeCell ref="C5:K5"/>
    <mergeCell ref="L5:T5"/>
    <mergeCell ref="U5:AC5"/>
    <mergeCell ref="C6:C7"/>
    <mergeCell ref="D6:D7"/>
    <mergeCell ref="E6:E7"/>
    <mergeCell ref="A3:AC3"/>
    <mergeCell ref="AA6:AC6"/>
    <mergeCell ref="F6:H6"/>
    <mergeCell ref="I6:K6"/>
    <mergeCell ref="U6:U7"/>
    <mergeCell ref="V6:V7"/>
    <mergeCell ref="W6:W7"/>
    <mergeCell ref="X6:Z6"/>
    <mergeCell ref="L6:L7"/>
    <mergeCell ref="M6:M7"/>
    <mergeCell ref="N6:N7"/>
    <mergeCell ref="O6:Q6"/>
    <mergeCell ref="R6:T6"/>
  </mergeCells>
  <pageMargins left="0.33" right="0.16" top="0.35" bottom="0.38" header="0.3" footer="0.2"/>
  <pageSetup paperSize="9" scale="53" firstPageNumber="3" orientation="landscape" useFirstPageNumber="1" verticalDpi="0" r:id="rId1"/>
  <headerFooter>
    <oddFooter>&amp;C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BB57"/>
  <sheetViews>
    <sheetView view="pageBreakPreview" topLeftCell="A5" zoomScaleNormal="100" zoomScaleSheetLayoutView="100" workbookViewId="0">
      <pane xSplit="4" ySplit="3" topLeftCell="E29" activePane="bottomRight" state="frozen"/>
      <selection activeCell="B14" sqref="B14"/>
      <selection pane="topRight" activeCell="B14" sqref="B14"/>
      <selection pane="bottomLeft" activeCell="B14" sqref="B14"/>
      <selection pane="bottomRight" activeCell="M33" sqref="M33"/>
    </sheetView>
  </sheetViews>
  <sheetFormatPr defaultRowHeight="15" x14ac:dyDescent="0.25"/>
  <cols>
    <col min="1" max="1" width="3.42578125" style="605" customWidth="1"/>
    <col min="2" max="2" width="19.42578125" style="602" customWidth="1"/>
    <col min="3" max="4" width="8.7109375" style="602" hidden="1" customWidth="1"/>
    <col min="5" max="5" width="8.7109375" style="602" customWidth="1"/>
    <col min="6" max="7" width="8.85546875" style="602" customWidth="1"/>
    <col min="8" max="8" width="8.5703125" style="602" customWidth="1"/>
    <col min="9" max="9" width="8.7109375" style="602" customWidth="1"/>
    <col min="10" max="10" width="8" style="602" customWidth="1"/>
    <col min="11" max="11" width="8.85546875" style="602" customWidth="1"/>
    <col min="12" max="12" width="10" style="602" customWidth="1"/>
    <col min="13" max="13" width="8.28515625" style="602" customWidth="1"/>
    <col min="14" max="15" width="8.85546875" style="602" customWidth="1"/>
    <col min="16" max="16" width="8.28515625" style="602" customWidth="1"/>
    <col min="17" max="18" width="8.85546875" style="602" customWidth="1"/>
    <col min="19" max="19" width="8.28515625" style="602" customWidth="1"/>
    <col min="20" max="20" width="9.5703125" style="602" customWidth="1"/>
    <col min="21" max="21" width="10.28515625" style="602" customWidth="1"/>
    <col min="22" max="22" width="8.5703125" style="602" customWidth="1"/>
    <col min="23" max="28" width="7.28515625" style="602" hidden="1" customWidth="1"/>
    <col min="29" max="29" width="7.85546875" style="602" hidden="1" customWidth="1"/>
    <col min="30" max="30" width="7.7109375" style="602" hidden="1" customWidth="1"/>
    <col min="31" max="31" width="4.85546875" style="602" hidden="1" customWidth="1"/>
    <col min="32" max="32" width="8.5703125" style="602" customWidth="1"/>
    <col min="33" max="33" width="8.85546875" style="602" customWidth="1"/>
    <col min="34" max="34" width="8" style="602" customWidth="1"/>
    <col min="35" max="35" width="8.85546875" style="602" customWidth="1"/>
    <col min="36" max="36" width="9.42578125" style="602" customWidth="1"/>
    <col min="37" max="37" width="8" style="602" customWidth="1"/>
    <col min="38" max="38" width="8.85546875" style="602" customWidth="1"/>
    <col min="39" max="39" width="9.7109375" style="602" customWidth="1"/>
    <col min="40" max="40" width="9.28515625" style="602" customWidth="1"/>
    <col min="41" max="41" width="6" style="605" customWidth="1"/>
    <col min="42" max="42" width="9.42578125" style="602" bestFit="1" customWidth="1"/>
    <col min="43" max="44" width="9.7109375" style="602" bestFit="1" customWidth="1"/>
    <col min="45" max="45" width="8.5703125" style="602" bestFit="1" customWidth="1"/>
    <col min="46" max="47" width="10.28515625" style="602" bestFit="1" customWidth="1"/>
    <col min="48" max="49" width="9.42578125" style="602" bestFit="1" customWidth="1"/>
    <col min="50" max="50" width="10.42578125" style="602" customWidth="1"/>
    <col min="51" max="51" width="9.42578125" style="602" bestFit="1" customWidth="1"/>
    <col min="52" max="53" width="10.28515625" style="602" bestFit="1" customWidth="1"/>
    <col min="54" max="54" width="9.42578125" style="602" bestFit="1" customWidth="1"/>
    <col min="55" max="267" width="9" style="602"/>
    <col min="268" max="268" width="3.42578125" style="602" customWidth="1"/>
    <col min="269" max="269" width="19.42578125" style="602" customWidth="1"/>
    <col min="270" max="270" width="8.28515625" style="602" customWidth="1"/>
    <col min="271" max="271" width="9.140625" style="602" customWidth="1"/>
    <col min="272" max="272" width="7.28515625" style="602" customWidth="1"/>
    <col min="273" max="273" width="8.42578125" style="602" customWidth="1"/>
    <col min="274" max="274" width="8.85546875" style="602" customWidth="1"/>
    <col min="275" max="275" width="7.28515625" style="602" customWidth="1"/>
    <col min="276" max="276" width="7.85546875" style="602" customWidth="1"/>
    <col min="277" max="277" width="8" style="602" customWidth="1"/>
    <col min="278" max="278" width="7.42578125" style="602" customWidth="1"/>
    <col min="279" max="279" width="8.5703125" style="602" customWidth="1"/>
    <col min="280" max="280" width="8.7109375" style="602" customWidth="1"/>
    <col min="281" max="281" width="7.28515625" style="602" customWidth="1"/>
    <col min="282" max="282" width="8" style="602" customWidth="1"/>
    <col min="283" max="283" width="8.7109375" style="602" customWidth="1"/>
    <col min="284" max="284" width="6.42578125" style="602" customWidth="1"/>
    <col min="285" max="286" width="7.7109375" style="602" customWidth="1"/>
    <col min="287" max="287" width="7.140625" style="602" customWidth="1"/>
    <col min="288" max="288" width="8.140625" style="602" customWidth="1"/>
    <col min="289" max="289" width="8.42578125" style="602" customWidth="1"/>
    <col min="290" max="290" width="7.42578125" style="602" customWidth="1"/>
    <col min="291" max="291" width="8" style="602" customWidth="1"/>
    <col min="292" max="292" width="7.7109375" style="602" customWidth="1"/>
    <col min="293" max="293" width="6.42578125" style="602" customWidth="1"/>
    <col min="294" max="295" width="8" style="602" customWidth="1"/>
    <col min="296" max="296" width="7.7109375" style="602" customWidth="1"/>
    <col min="297" max="297" width="9.42578125" style="602" bestFit="1" customWidth="1"/>
    <col min="298" max="298" width="9" style="602"/>
    <col min="299" max="300" width="9.7109375" style="602" bestFit="1" customWidth="1"/>
    <col min="301" max="301" width="8.5703125" style="602" bestFit="1" customWidth="1"/>
    <col min="302" max="523" width="9" style="602"/>
    <col min="524" max="524" width="3.42578125" style="602" customWidth="1"/>
    <col min="525" max="525" width="19.42578125" style="602" customWidth="1"/>
    <col min="526" max="526" width="8.28515625" style="602" customWidth="1"/>
    <col min="527" max="527" width="9.140625" style="602" customWidth="1"/>
    <col min="528" max="528" width="7.28515625" style="602" customWidth="1"/>
    <col min="529" max="529" width="8.42578125" style="602" customWidth="1"/>
    <col min="530" max="530" width="8.85546875" style="602" customWidth="1"/>
    <col min="531" max="531" width="7.28515625" style="602" customWidth="1"/>
    <col min="532" max="532" width="7.85546875" style="602" customWidth="1"/>
    <col min="533" max="533" width="8" style="602" customWidth="1"/>
    <col min="534" max="534" width="7.42578125" style="602" customWidth="1"/>
    <col min="535" max="535" width="8.5703125" style="602" customWidth="1"/>
    <col min="536" max="536" width="8.7109375" style="602" customWidth="1"/>
    <col min="537" max="537" width="7.28515625" style="602" customWidth="1"/>
    <col min="538" max="538" width="8" style="602" customWidth="1"/>
    <col min="539" max="539" width="8.7109375" style="602" customWidth="1"/>
    <col min="540" max="540" width="6.42578125" style="602" customWidth="1"/>
    <col min="541" max="542" width="7.7109375" style="602" customWidth="1"/>
    <col min="543" max="543" width="7.140625" style="602" customWidth="1"/>
    <col min="544" max="544" width="8.140625" style="602" customWidth="1"/>
    <col min="545" max="545" width="8.42578125" style="602" customWidth="1"/>
    <col min="546" max="546" width="7.42578125" style="602" customWidth="1"/>
    <col min="547" max="547" width="8" style="602" customWidth="1"/>
    <col min="548" max="548" width="7.7109375" style="602" customWidth="1"/>
    <col min="549" max="549" width="6.42578125" style="602" customWidth="1"/>
    <col min="550" max="551" width="8" style="602" customWidth="1"/>
    <col min="552" max="552" width="7.7109375" style="602" customWidth="1"/>
    <col min="553" max="553" width="9.42578125" style="602" bestFit="1" customWidth="1"/>
    <col min="554" max="554" width="9" style="602"/>
    <col min="555" max="556" width="9.7109375" style="602" bestFit="1" customWidth="1"/>
    <col min="557" max="557" width="8.5703125" style="602" bestFit="1" customWidth="1"/>
    <col min="558" max="779" width="9" style="602"/>
    <col min="780" max="780" width="3.42578125" style="602" customWidth="1"/>
    <col min="781" max="781" width="19.42578125" style="602" customWidth="1"/>
    <col min="782" max="782" width="8.28515625" style="602" customWidth="1"/>
    <col min="783" max="783" width="9.140625" style="602" customWidth="1"/>
    <col min="784" max="784" width="7.28515625" style="602" customWidth="1"/>
    <col min="785" max="785" width="8.42578125" style="602" customWidth="1"/>
    <col min="786" max="786" width="8.85546875" style="602" customWidth="1"/>
    <col min="787" max="787" width="7.28515625" style="602" customWidth="1"/>
    <col min="788" max="788" width="7.85546875" style="602" customWidth="1"/>
    <col min="789" max="789" width="8" style="602" customWidth="1"/>
    <col min="790" max="790" width="7.42578125" style="602" customWidth="1"/>
    <col min="791" max="791" width="8.5703125" style="602" customWidth="1"/>
    <col min="792" max="792" width="8.7109375" style="602" customWidth="1"/>
    <col min="793" max="793" width="7.28515625" style="602" customWidth="1"/>
    <col min="794" max="794" width="8" style="602" customWidth="1"/>
    <col min="795" max="795" width="8.7109375" style="602" customWidth="1"/>
    <col min="796" max="796" width="6.42578125" style="602" customWidth="1"/>
    <col min="797" max="798" width="7.7109375" style="602" customWidth="1"/>
    <col min="799" max="799" width="7.140625" style="602" customWidth="1"/>
    <col min="800" max="800" width="8.140625" style="602" customWidth="1"/>
    <col min="801" max="801" width="8.42578125" style="602" customWidth="1"/>
    <col min="802" max="802" width="7.42578125" style="602" customWidth="1"/>
    <col min="803" max="803" width="8" style="602" customWidth="1"/>
    <col min="804" max="804" width="7.7109375" style="602" customWidth="1"/>
    <col min="805" max="805" width="6.42578125" style="602" customWidth="1"/>
    <col min="806" max="807" width="8" style="602" customWidth="1"/>
    <col min="808" max="808" width="7.7109375" style="602" customWidth="1"/>
    <col min="809" max="809" width="9.42578125" style="602" bestFit="1" customWidth="1"/>
    <col min="810" max="810" width="9" style="602"/>
    <col min="811" max="812" width="9.7109375" style="602" bestFit="1" customWidth="1"/>
    <col min="813" max="813" width="8.5703125" style="602" bestFit="1" customWidth="1"/>
    <col min="814" max="1035" width="9" style="602"/>
    <col min="1036" max="1036" width="3.42578125" style="602" customWidth="1"/>
    <col min="1037" max="1037" width="19.42578125" style="602" customWidth="1"/>
    <col min="1038" max="1038" width="8.28515625" style="602" customWidth="1"/>
    <col min="1039" max="1039" width="9.140625" style="602" customWidth="1"/>
    <col min="1040" max="1040" width="7.28515625" style="602" customWidth="1"/>
    <col min="1041" max="1041" width="8.42578125" style="602" customWidth="1"/>
    <col min="1042" max="1042" width="8.85546875" style="602" customWidth="1"/>
    <col min="1043" max="1043" width="7.28515625" style="602" customWidth="1"/>
    <col min="1044" max="1044" width="7.85546875" style="602" customWidth="1"/>
    <col min="1045" max="1045" width="8" style="602" customWidth="1"/>
    <col min="1046" max="1046" width="7.42578125" style="602" customWidth="1"/>
    <col min="1047" max="1047" width="8.5703125" style="602" customWidth="1"/>
    <col min="1048" max="1048" width="8.7109375" style="602" customWidth="1"/>
    <col min="1049" max="1049" width="7.28515625" style="602" customWidth="1"/>
    <col min="1050" max="1050" width="8" style="602" customWidth="1"/>
    <col min="1051" max="1051" width="8.7109375" style="602" customWidth="1"/>
    <col min="1052" max="1052" width="6.42578125" style="602" customWidth="1"/>
    <col min="1053" max="1054" width="7.7109375" style="602" customWidth="1"/>
    <col min="1055" max="1055" width="7.140625" style="602" customWidth="1"/>
    <col min="1056" max="1056" width="8.140625" style="602" customWidth="1"/>
    <col min="1057" max="1057" width="8.42578125" style="602" customWidth="1"/>
    <col min="1058" max="1058" width="7.42578125" style="602" customWidth="1"/>
    <col min="1059" max="1059" width="8" style="602" customWidth="1"/>
    <col min="1060" max="1060" width="7.7109375" style="602" customWidth="1"/>
    <col min="1061" max="1061" width="6.42578125" style="602" customWidth="1"/>
    <col min="1062" max="1063" width="8" style="602" customWidth="1"/>
    <col min="1064" max="1064" width="7.7109375" style="602" customWidth="1"/>
    <col min="1065" max="1065" width="9.42578125" style="602" bestFit="1" customWidth="1"/>
    <col min="1066" max="1066" width="9" style="602"/>
    <col min="1067" max="1068" width="9.7109375" style="602" bestFit="1" customWidth="1"/>
    <col min="1069" max="1069" width="8.5703125" style="602" bestFit="1" customWidth="1"/>
    <col min="1070" max="1291" width="9" style="602"/>
    <col min="1292" max="1292" width="3.42578125" style="602" customWidth="1"/>
    <col min="1293" max="1293" width="19.42578125" style="602" customWidth="1"/>
    <col min="1294" max="1294" width="8.28515625" style="602" customWidth="1"/>
    <col min="1295" max="1295" width="9.140625" style="602" customWidth="1"/>
    <col min="1296" max="1296" width="7.28515625" style="602" customWidth="1"/>
    <col min="1297" max="1297" width="8.42578125" style="602" customWidth="1"/>
    <col min="1298" max="1298" width="8.85546875" style="602" customWidth="1"/>
    <col min="1299" max="1299" width="7.28515625" style="602" customWidth="1"/>
    <col min="1300" max="1300" width="7.85546875" style="602" customWidth="1"/>
    <col min="1301" max="1301" width="8" style="602" customWidth="1"/>
    <col min="1302" max="1302" width="7.42578125" style="602" customWidth="1"/>
    <col min="1303" max="1303" width="8.5703125" style="602" customWidth="1"/>
    <col min="1304" max="1304" width="8.7109375" style="602" customWidth="1"/>
    <col min="1305" max="1305" width="7.28515625" style="602" customWidth="1"/>
    <col min="1306" max="1306" width="8" style="602" customWidth="1"/>
    <col min="1307" max="1307" width="8.7109375" style="602" customWidth="1"/>
    <col min="1308" max="1308" width="6.42578125" style="602" customWidth="1"/>
    <col min="1309" max="1310" width="7.7109375" style="602" customWidth="1"/>
    <col min="1311" max="1311" width="7.140625" style="602" customWidth="1"/>
    <col min="1312" max="1312" width="8.140625" style="602" customWidth="1"/>
    <col min="1313" max="1313" width="8.42578125" style="602" customWidth="1"/>
    <col min="1314" max="1314" width="7.42578125" style="602" customWidth="1"/>
    <col min="1315" max="1315" width="8" style="602" customWidth="1"/>
    <col min="1316" max="1316" width="7.7109375" style="602" customWidth="1"/>
    <col min="1317" max="1317" width="6.42578125" style="602" customWidth="1"/>
    <col min="1318" max="1319" width="8" style="602" customWidth="1"/>
    <col min="1320" max="1320" width="7.7109375" style="602" customWidth="1"/>
    <col min="1321" max="1321" width="9.42578125" style="602" bestFit="1" customWidth="1"/>
    <col min="1322" max="1322" width="9" style="602"/>
    <col min="1323" max="1324" width="9.7109375" style="602" bestFit="1" customWidth="1"/>
    <col min="1325" max="1325" width="8.5703125" style="602" bestFit="1" customWidth="1"/>
    <col min="1326" max="1547" width="9" style="602"/>
    <col min="1548" max="1548" width="3.42578125" style="602" customWidth="1"/>
    <col min="1549" max="1549" width="19.42578125" style="602" customWidth="1"/>
    <col min="1550" max="1550" width="8.28515625" style="602" customWidth="1"/>
    <col min="1551" max="1551" width="9.140625" style="602" customWidth="1"/>
    <col min="1552" max="1552" width="7.28515625" style="602" customWidth="1"/>
    <col min="1553" max="1553" width="8.42578125" style="602" customWidth="1"/>
    <col min="1554" max="1554" width="8.85546875" style="602" customWidth="1"/>
    <col min="1555" max="1555" width="7.28515625" style="602" customWidth="1"/>
    <col min="1556" max="1556" width="7.85546875" style="602" customWidth="1"/>
    <col min="1557" max="1557" width="8" style="602" customWidth="1"/>
    <col min="1558" max="1558" width="7.42578125" style="602" customWidth="1"/>
    <col min="1559" max="1559" width="8.5703125" style="602" customWidth="1"/>
    <col min="1560" max="1560" width="8.7109375" style="602" customWidth="1"/>
    <col min="1561" max="1561" width="7.28515625" style="602" customWidth="1"/>
    <col min="1562" max="1562" width="8" style="602" customWidth="1"/>
    <col min="1563" max="1563" width="8.7109375" style="602" customWidth="1"/>
    <col min="1564" max="1564" width="6.42578125" style="602" customWidth="1"/>
    <col min="1565" max="1566" width="7.7109375" style="602" customWidth="1"/>
    <col min="1567" max="1567" width="7.140625" style="602" customWidth="1"/>
    <col min="1568" max="1568" width="8.140625" style="602" customWidth="1"/>
    <col min="1569" max="1569" width="8.42578125" style="602" customWidth="1"/>
    <col min="1570" max="1570" width="7.42578125" style="602" customWidth="1"/>
    <col min="1571" max="1571" width="8" style="602" customWidth="1"/>
    <col min="1572" max="1572" width="7.7109375" style="602" customWidth="1"/>
    <col min="1573" max="1573" width="6.42578125" style="602" customWidth="1"/>
    <col min="1574" max="1575" width="8" style="602" customWidth="1"/>
    <col min="1576" max="1576" width="7.7109375" style="602" customWidth="1"/>
    <col min="1577" max="1577" width="9.42578125" style="602" bestFit="1" customWidth="1"/>
    <col min="1578" max="1578" width="9" style="602"/>
    <col min="1579" max="1580" width="9.7109375" style="602" bestFit="1" customWidth="1"/>
    <col min="1581" max="1581" width="8.5703125" style="602" bestFit="1" customWidth="1"/>
    <col min="1582" max="1803" width="9" style="602"/>
    <col min="1804" max="1804" width="3.42578125" style="602" customWidth="1"/>
    <col min="1805" max="1805" width="19.42578125" style="602" customWidth="1"/>
    <col min="1806" max="1806" width="8.28515625" style="602" customWidth="1"/>
    <col min="1807" max="1807" width="9.140625" style="602" customWidth="1"/>
    <col min="1808" max="1808" width="7.28515625" style="602" customWidth="1"/>
    <col min="1809" max="1809" width="8.42578125" style="602" customWidth="1"/>
    <col min="1810" max="1810" width="8.85546875" style="602" customWidth="1"/>
    <col min="1811" max="1811" width="7.28515625" style="602" customWidth="1"/>
    <col min="1812" max="1812" width="7.85546875" style="602" customWidth="1"/>
    <col min="1813" max="1813" width="8" style="602" customWidth="1"/>
    <col min="1814" max="1814" width="7.42578125" style="602" customWidth="1"/>
    <col min="1815" max="1815" width="8.5703125" style="602" customWidth="1"/>
    <col min="1816" max="1816" width="8.7109375" style="602" customWidth="1"/>
    <col min="1817" max="1817" width="7.28515625" style="602" customWidth="1"/>
    <col min="1818" max="1818" width="8" style="602" customWidth="1"/>
    <col min="1819" max="1819" width="8.7109375" style="602" customWidth="1"/>
    <col min="1820" max="1820" width="6.42578125" style="602" customWidth="1"/>
    <col min="1821" max="1822" width="7.7109375" style="602" customWidth="1"/>
    <col min="1823" max="1823" width="7.140625" style="602" customWidth="1"/>
    <col min="1824" max="1824" width="8.140625" style="602" customWidth="1"/>
    <col min="1825" max="1825" width="8.42578125" style="602" customWidth="1"/>
    <col min="1826" max="1826" width="7.42578125" style="602" customWidth="1"/>
    <col min="1827" max="1827" width="8" style="602" customWidth="1"/>
    <col min="1828" max="1828" width="7.7109375" style="602" customWidth="1"/>
    <col min="1829" max="1829" width="6.42578125" style="602" customWidth="1"/>
    <col min="1830" max="1831" width="8" style="602" customWidth="1"/>
    <col min="1832" max="1832" width="7.7109375" style="602" customWidth="1"/>
    <col min="1833" max="1833" width="9.42578125" style="602" bestFit="1" customWidth="1"/>
    <col min="1834" max="1834" width="9" style="602"/>
    <col min="1835" max="1836" width="9.7109375" style="602" bestFit="1" customWidth="1"/>
    <col min="1837" max="1837" width="8.5703125" style="602" bestFit="1" customWidth="1"/>
    <col min="1838" max="2059" width="9" style="602"/>
    <col min="2060" max="2060" width="3.42578125" style="602" customWidth="1"/>
    <col min="2061" max="2061" width="19.42578125" style="602" customWidth="1"/>
    <col min="2062" max="2062" width="8.28515625" style="602" customWidth="1"/>
    <col min="2063" max="2063" width="9.140625" style="602" customWidth="1"/>
    <col min="2064" max="2064" width="7.28515625" style="602" customWidth="1"/>
    <col min="2065" max="2065" width="8.42578125" style="602" customWidth="1"/>
    <col min="2066" max="2066" width="8.85546875" style="602" customWidth="1"/>
    <col min="2067" max="2067" width="7.28515625" style="602" customWidth="1"/>
    <col min="2068" max="2068" width="7.85546875" style="602" customWidth="1"/>
    <col min="2069" max="2069" width="8" style="602" customWidth="1"/>
    <col min="2070" max="2070" width="7.42578125" style="602" customWidth="1"/>
    <col min="2071" max="2071" width="8.5703125" style="602" customWidth="1"/>
    <col min="2072" max="2072" width="8.7109375" style="602" customWidth="1"/>
    <col min="2073" max="2073" width="7.28515625" style="602" customWidth="1"/>
    <col min="2074" max="2074" width="8" style="602" customWidth="1"/>
    <col min="2075" max="2075" width="8.7109375" style="602" customWidth="1"/>
    <col min="2076" max="2076" width="6.42578125" style="602" customWidth="1"/>
    <col min="2077" max="2078" width="7.7109375" style="602" customWidth="1"/>
    <col min="2079" max="2079" width="7.140625" style="602" customWidth="1"/>
    <col min="2080" max="2080" width="8.140625" style="602" customWidth="1"/>
    <col min="2081" max="2081" width="8.42578125" style="602" customWidth="1"/>
    <col min="2082" max="2082" width="7.42578125" style="602" customWidth="1"/>
    <col min="2083" max="2083" width="8" style="602" customWidth="1"/>
    <col min="2084" max="2084" width="7.7109375" style="602" customWidth="1"/>
    <col min="2085" max="2085" width="6.42578125" style="602" customWidth="1"/>
    <col min="2086" max="2087" width="8" style="602" customWidth="1"/>
    <col min="2088" max="2088" width="7.7109375" style="602" customWidth="1"/>
    <col min="2089" max="2089" width="9.42578125" style="602" bestFit="1" customWidth="1"/>
    <col min="2090" max="2090" width="9" style="602"/>
    <col min="2091" max="2092" width="9.7109375" style="602" bestFit="1" customWidth="1"/>
    <col min="2093" max="2093" width="8.5703125" style="602" bestFit="1" customWidth="1"/>
    <col min="2094" max="2315" width="9" style="602"/>
    <col min="2316" max="2316" width="3.42578125" style="602" customWidth="1"/>
    <col min="2317" max="2317" width="19.42578125" style="602" customWidth="1"/>
    <col min="2318" max="2318" width="8.28515625" style="602" customWidth="1"/>
    <col min="2319" max="2319" width="9.140625" style="602" customWidth="1"/>
    <col min="2320" max="2320" width="7.28515625" style="602" customWidth="1"/>
    <col min="2321" max="2321" width="8.42578125" style="602" customWidth="1"/>
    <col min="2322" max="2322" width="8.85546875" style="602" customWidth="1"/>
    <col min="2323" max="2323" width="7.28515625" style="602" customWidth="1"/>
    <col min="2324" max="2324" width="7.85546875" style="602" customWidth="1"/>
    <col min="2325" max="2325" width="8" style="602" customWidth="1"/>
    <col min="2326" max="2326" width="7.42578125" style="602" customWidth="1"/>
    <col min="2327" max="2327" width="8.5703125" style="602" customWidth="1"/>
    <col min="2328" max="2328" width="8.7109375" style="602" customWidth="1"/>
    <col min="2329" max="2329" width="7.28515625" style="602" customWidth="1"/>
    <col min="2330" max="2330" width="8" style="602" customWidth="1"/>
    <col min="2331" max="2331" width="8.7109375" style="602" customWidth="1"/>
    <col min="2332" max="2332" width="6.42578125" style="602" customWidth="1"/>
    <col min="2333" max="2334" width="7.7109375" style="602" customWidth="1"/>
    <col min="2335" max="2335" width="7.140625" style="602" customWidth="1"/>
    <col min="2336" max="2336" width="8.140625" style="602" customWidth="1"/>
    <col min="2337" max="2337" width="8.42578125" style="602" customWidth="1"/>
    <col min="2338" max="2338" width="7.42578125" style="602" customWidth="1"/>
    <col min="2339" max="2339" width="8" style="602" customWidth="1"/>
    <col min="2340" max="2340" width="7.7109375" style="602" customWidth="1"/>
    <col min="2341" max="2341" width="6.42578125" style="602" customWidth="1"/>
    <col min="2342" max="2343" width="8" style="602" customWidth="1"/>
    <col min="2344" max="2344" width="7.7109375" style="602" customWidth="1"/>
    <col min="2345" max="2345" width="9.42578125" style="602" bestFit="1" customWidth="1"/>
    <col min="2346" max="2346" width="9" style="602"/>
    <col min="2347" max="2348" width="9.7109375" style="602" bestFit="1" customWidth="1"/>
    <col min="2349" max="2349" width="8.5703125" style="602" bestFit="1" customWidth="1"/>
    <col min="2350" max="2571" width="9" style="602"/>
    <col min="2572" max="2572" width="3.42578125" style="602" customWidth="1"/>
    <col min="2573" max="2573" width="19.42578125" style="602" customWidth="1"/>
    <col min="2574" max="2574" width="8.28515625" style="602" customWidth="1"/>
    <col min="2575" max="2575" width="9.140625" style="602" customWidth="1"/>
    <col min="2576" max="2576" width="7.28515625" style="602" customWidth="1"/>
    <col min="2577" max="2577" width="8.42578125" style="602" customWidth="1"/>
    <col min="2578" max="2578" width="8.85546875" style="602" customWidth="1"/>
    <col min="2579" max="2579" width="7.28515625" style="602" customWidth="1"/>
    <col min="2580" max="2580" width="7.85546875" style="602" customWidth="1"/>
    <col min="2581" max="2581" width="8" style="602" customWidth="1"/>
    <col min="2582" max="2582" width="7.42578125" style="602" customWidth="1"/>
    <col min="2583" max="2583" width="8.5703125" style="602" customWidth="1"/>
    <col min="2584" max="2584" width="8.7109375" style="602" customWidth="1"/>
    <col min="2585" max="2585" width="7.28515625" style="602" customWidth="1"/>
    <col min="2586" max="2586" width="8" style="602" customWidth="1"/>
    <col min="2587" max="2587" width="8.7109375" style="602" customWidth="1"/>
    <col min="2588" max="2588" width="6.42578125" style="602" customWidth="1"/>
    <col min="2589" max="2590" width="7.7109375" style="602" customWidth="1"/>
    <col min="2591" max="2591" width="7.140625" style="602" customWidth="1"/>
    <col min="2592" max="2592" width="8.140625" style="602" customWidth="1"/>
    <col min="2593" max="2593" width="8.42578125" style="602" customWidth="1"/>
    <col min="2594" max="2594" width="7.42578125" style="602" customWidth="1"/>
    <col min="2595" max="2595" width="8" style="602" customWidth="1"/>
    <col min="2596" max="2596" width="7.7109375" style="602" customWidth="1"/>
    <col min="2597" max="2597" width="6.42578125" style="602" customWidth="1"/>
    <col min="2598" max="2599" width="8" style="602" customWidth="1"/>
    <col min="2600" max="2600" width="7.7109375" style="602" customWidth="1"/>
    <col min="2601" max="2601" width="9.42578125" style="602" bestFit="1" customWidth="1"/>
    <col min="2602" max="2602" width="9" style="602"/>
    <col min="2603" max="2604" width="9.7109375" style="602" bestFit="1" customWidth="1"/>
    <col min="2605" max="2605" width="8.5703125" style="602" bestFit="1" customWidth="1"/>
    <col min="2606" max="2827" width="9" style="602"/>
    <col min="2828" max="2828" width="3.42578125" style="602" customWidth="1"/>
    <col min="2829" max="2829" width="19.42578125" style="602" customWidth="1"/>
    <col min="2830" max="2830" width="8.28515625" style="602" customWidth="1"/>
    <col min="2831" max="2831" width="9.140625" style="602" customWidth="1"/>
    <col min="2832" max="2832" width="7.28515625" style="602" customWidth="1"/>
    <col min="2833" max="2833" width="8.42578125" style="602" customWidth="1"/>
    <col min="2834" max="2834" width="8.85546875" style="602" customWidth="1"/>
    <col min="2835" max="2835" width="7.28515625" style="602" customWidth="1"/>
    <col min="2836" max="2836" width="7.85546875" style="602" customWidth="1"/>
    <col min="2837" max="2837" width="8" style="602" customWidth="1"/>
    <col min="2838" max="2838" width="7.42578125" style="602" customWidth="1"/>
    <col min="2839" max="2839" width="8.5703125" style="602" customWidth="1"/>
    <col min="2840" max="2840" width="8.7109375" style="602" customWidth="1"/>
    <col min="2841" max="2841" width="7.28515625" style="602" customWidth="1"/>
    <col min="2842" max="2842" width="8" style="602" customWidth="1"/>
    <col min="2843" max="2843" width="8.7109375" style="602" customWidth="1"/>
    <col min="2844" max="2844" width="6.42578125" style="602" customWidth="1"/>
    <col min="2845" max="2846" width="7.7109375" style="602" customWidth="1"/>
    <col min="2847" max="2847" width="7.140625" style="602" customWidth="1"/>
    <col min="2848" max="2848" width="8.140625" style="602" customWidth="1"/>
    <col min="2849" max="2849" width="8.42578125" style="602" customWidth="1"/>
    <col min="2850" max="2850" width="7.42578125" style="602" customWidth="1"/>
    <col min="2851" max="2851" width="8" style="602" customWidth="1"/>
    <col min="2852" max="2852" width="7.7109375" style="602" customWidth="1"/>
    <col min="2853" max="2853" width="6.42578125" style="602" customWidth="1"/>
    <col min="2854" max="2855" width="8" style="602" customWidth="1"/>
    <col min="2856" max="2856" width="7.7109375" style="602" customWidth="1"/>
    <col min="2857" max="2857" width="9.42578125" style="602" bestFit="1" customWidth="1"/>
    <col min="2858" max="2858" width="9" style="602"/>
    <col min="2859" max="2860" width="9.7109375" style="602" bestFit="1" customWidth="1"/>
    <col min="2861" max="2861" width="8.5703125" style="602" bestFit="1" customWidth="1"/>
    <col min="2862" max="3083" width="9" style="602"/>
    <col min="3084" max="3084" width="3.42578125" style="602" customWidth="1"/>
    <col min="3085" max="3085" width="19.42578125" style="602" customWidth="1"/>
    <col min="3086" max="3086" width="8.28515625" style="602" customWidth="1"/>
    <col min="3087" max="3087" width="9.140625" style="602" customWidth="1"/>
    <col min="3088" max="3088" width="7.28515625" style="602" customWidth="1"/>
    <col min="3089" max="3089" width="8.42578125" style="602" customWidth="1"/>
    <col min="3090" max="3090" width="8.85546875" style="602" customWidth="1"/>
    <col min="3091" max="3091" width="7.28515625" style="602" customWidth="1"/>
    <col min="3092" max="3092" width="7.85546875" style="602" customWidth="1"/>
    <col min="3093" max="3093" width="8" style="602" customWidth="1"/>
    <col min="3094" max="3094" width="7.42578125" style="602" customWidth="1"/>
    <col min="3095" max="3095" width="8.5703125" style="602" customWidth="1"/>
    <col min="3096" max="3096" width="8.7109375" style="602" customWidth="1"/>
    <col min="3097" max="3097" width="7.28515625" style="602" customWidth="1"/>
    <col min="3098" max="3098" width="8" style="602" customWidth="1"/>
    <col min="3099" max="3099" width="8.7109375" style="602" customWidth="1"/>
    <col min="3100" max="3100" width="6.42578125" style="602" customWidth="1"/>
    <col min="3101" max="3102" width="7.7109375" style="602" customWidth="1"/>
    <col min="3103" max="3103" width="7.140625" style="602" customWidth="1"/>
    <col min="3104" max="3104" width="8.140625" style="602" customWidth="1"/>
    <col min="3105" max="3105" width="8.42578125" style="602" customWidth="1"/>
    <col min="3106" max="3106" width="7.42578125" style="602" customWidth="1"/>
    <col min="3107" max="3107" width="8" style="602" customWidth="1"/>
    <col min="3108" max="3108" width="7.7109375" style="602" customWidth="1"/>
    <col min="3109" max="3109" width="6.42578125" style="602" customWidth="1"/>
    <col min="3110" max="3111" width="8" style="602" customWidth="1"/>
    <col min="3112" max="3112" width="7.7109375" style="602" customWidth="1"/>
    <col min="3113" max="3113" width="9.42578125" style="602" bestFit="1" customWidth="1"/>
    <col min="3114" max="3114" width="9" style="602"/>
    <col min="3115" max="3116" width="9.7109375" style="602" bestFit="1" customWidth="1"/>
    <col min="3117" max="3117" width="8.5703125" style="602" bestFit="1" customWidth="1"/>
    <col min="3118" max="3339" width="9" style="602"/>
    <col min="3340" max="3340" width="3.42578125" style="602" customWidth="1"/>
    <col min="3341" max="3341" width="19.42578125" style="602" customWidth="1"/>
    <col min="3342" max="3342" width="8.28515625" style="602" customWidth="1"/>
    <col min="3343" max="3343" width="9.140625" style="602" customWidth="1"/>
    <col min="3344" max="3344" width="7.28515625" style="602" customWidth="1"/>
    <col min="3345" max="3345" width="8.42578125" style="602" customWidth="1"/>
    <col min="3346" max="3346" width="8.85546875" style="602" customWidth="1"/>
    <col min="3347" max="3347" width="7.28515625" style="602" customWidth="1"/>
    <col min="3348" max="3348" width="7.85546875" style="602" customWidth="1"/>
    <col min="3349" max="3349" width="8" style="602" customWidth="1"/>
    <col min="3350" max="3350" width="7.42578125" style="602" customWidth="1"/>
    <col min="3351" max="3351" width="8.5703125" style="602" customWidth="1"/>
    <col min="3352" max="3352" width="8.7109375" style="602" customWidth="1"/>
    <col min="3353" max="3353" width="7.28515625" style="602" customWidth="1"/>
    <col min="3354" max="3354" width="8" style="602" customWidth="1"/>
    <col min="3355" max="3355" width="8.7109375" style="602" customWidth="1"/>
    <col min="3356" max="3356" width="6.42578125" style="602" customWidth="1"/>
    <col min="3357" max="3358" width="7.7109375" style="602" customWidth="1"/>
    <col min="3359" max="3359" width="7.140625" style="602" customWidth="1"/>
    <col min="3360" max="3360" width="8.140625" style="602" customWidth="1"/>
    <col min="3361" max="3361" width="8.42578125" style="602" customWidth="1"/>
    <col min="3362" max="3362" width="7.42578125" style="602" customWidth="1"/>
    <col min="3363" max="3363" width="8" style="602" customWidth="1"/>
    <col min="3364" max="3364" width="7.7109375" style="602" customWidth="1"/>
    <col min="3365" max="3365" width="6.42578125" style="602" customWidth="1"/>
    <col min="3366" max="3367" width="8" style="602" customWidth="1"/>
    <col min="3368" max="3368" width="7.7109375" style="602" customWidth="1"/>
    <col min="3369" max="3369" width="9.42578125" style="602" bestFit="1" customWidth="1"/>
    <col min="3370" max="3370" width="9" style="602"/>
    <col min="3371" max="3372" width="9.7109375" style="602" bestFit="1" customWidth="1"/>
    <col min="3373" max="3373" width="8.5703125" style="602" bestFit="1" customWidth="1"/>
    <col min="3374" max="3595" width="9" style="602"/>
    <col min="3596" max="3596" width="3.42578125" style="602" customWidth="1"/>
    <col min="3597" max="3597" width="19.42578125" style="602" customWidth="1"/>
    <col min="3598" max="3598" width="8.28515625" style="602" customWidth="1"/>
    <col min="3599" max="3599" width="9.140625" style="602" customWidth="1"/>
    <col min="3600" max="3600" width="7.28515625" style="602" customWidth="1"/>
    <col min="3601" max="3601" width="8.42578125" style="602" customWidth="1"/>
    <col min="3602" max="3602" width="8.85546875" style="602" customWidth="1"/>
    <col min="3603" max="3603" width="7.28515625" style="602" customWidth="1"/>
    <col min="3604" max="3604" width="7.85546875" style="602" customWidth="1"/>
    <col min="3605" max="3605" width="8" style="602" customWidth="1"/>
    <col min="3606" max="3606" width="7.42578125" style="602" customWidth="1"/>
    <col min="3607" max="3607" width="8.5703125" style="602" customWidth="1"/>
    <col min="3608" max="3608" width="8.7109375" style="602" customWidth="1"/>
    <col min="3609" max="3609" width="7.28515625" style="602" customWidth="1"/>
    <col min="3610" max="3610" width="8" style="602" customWidth="1"/>
    <col min="3611" max="3611" width="8.7109375" style="602" customWidth="1"/>
    <col min="3612" max="3612" width="6.42578125" style="602" customWidth="1"/>
    <col min="3613" max="3614" width="7.7109375" style="602" customWidth="1"/>
    <col min="3615" max="3615" width="7.140625" style="602" customWidth="1"/>
    <col min="3616" max="3616" width="8.140625" style="602" customWidth="1"/>
    <col min="3617" max="3617" width="8.42578125" style="602" customWidth="1"/>
    <col min="3618" max="3618" width="7.42578125" style="602" customWidth="1"/>
    <col min="3619" max="3619" width="8" style="602" customWidth="1"/>
    <col min="3620" max="3620" width="7.7109375" style="602" customWidth="1"/>
    <col min="3621" max="3621" width="6.42578125" style="602" customWidth="1"/>
    <col min="3622" max="3623" width="8" style="602" customWidth="1"/>
    <col min="3624" max="3624" width="7.7109375" style="602" customWidth="1"/>
    <col min="3625" max="3625" width="9.42578125" style="602" bestFit="1" customWidth="1"/>
    <col min="3626" max="3626" width="9" style="602"/>
    <col min="3627" max="3628" width="9.7109375" style="602" bestFit="1" customWidth="1"/>
    <col min="3629" max="3629" width="8.5703125" style="602" bestFit="1" customWidth="1"/>
    <col min="3630" max="3851" width="9" style="602"/>
    <col min="3852" max="3852" width="3.42578125" style="602" customWidth="1"/>
    <col min="3853" max="3853" width="19.42578125" style="602" customWidth="1"/>
    <col min="3854" max="3854" width="8.28515625" style="602" customWidth="1"/>
    <col min="3855" max="3855" width="9.140625" style="602" customWidth="1"/>
    <col min="3856" max="3856" width="7.28515625" style="602" customWidth="1"/>
    <col min="3857" max="3857" width="8.42578125" style="602" customWidth="1"/>
    <col min="3858" max="3858" width="8.85546875" style="602" customWidth="1"/>
    <col min="3859" max="3859" width="7.28515625" style="602" customWidth="1"/>
    <col min="3860" max="3860" width="7.85546875" style="602" customWidth="1"/>
    <col min="3861" max="3861" width="8" style="602" customWidth="1"/>
    <col min="3862" max="3862" width="7.42578125" style="602" customWidth="1"/>
    <col min="3863" max="3863" width="8.5703125" style="602" customWidth="1"/>
    <col min="3864" max="3864" width="8.7109375" style="602" customWidth="1"/>
    <col min="3865" max="3865" width="7.28515625" style="602" customWidth="1"/>
    <col min="3866" max="3866" width="8" style="602" customWidth="1"/>
    <col min="3867" max="3867" width="8.7109375" style="602" customWidth="1"/>
    <col min="3868" max="3868" width="6.42578125" style="602" customWidth="1"/>
    <col min="3869" max="3870" width="7.7109375" style="602" customWidth="1"/>
    <col min="3871" max="3871" width="7.140625" style="602" customWidth="1"/>
    <col min="3872" max="3872" width="8.140625" style="602" customWidth="1"/>
    <col min="3873" max="3873" width="8.42578125" style="602" customWidth="1"/>
    <col min="3874" max="3874" width="7.42578125" style="602" customWidth="1"/>
    <col min="3875" max="3875" width="8" style="602" customWidth="1"/>
    <col min="3876" max="3876" width="7.7109375" style="602" customWidth="1"/>
    <col min="3877" max="3877" width="6.42578125" style="602" customWidth="1"/>
    <col min="3878" max="3879" width="8" style="602" customWidth="1"/>
    <col min="3880" max="3880" width="7.7109375" style="602" customWidth="1"/>
    <col min="3881" max="3881" width="9.42578125" style="602" bestFit="1" customWidth="1"/>
    <col min="3882" max="3882" width="9" style="602"/>
    <col min="3883" max="3884" width="9.7109375" style="602" bestFit="1" customWidth="1"/>
    <col min="3885" max="3885" width="8.5703125" style="602" bestFit="1" customWidth="1"/>
    <col min="3886" max="4107" width="9" style="602"/>
    <col min="4108" max="4108" width="3.42578125" style="602" customWidth="1"/>
    <col min="4109" max="4109" width="19.42578125" style="602" customWidth="1"/>
    <col min="4110" max="4110" width="8.28515625" style="602" customWidth="1"/>
    <col min="4111" max="4111" width="9.140625" style="602" customWidth="1"/>
    <col min="4112" max="4112" width="7.28515625" style="602" customWidth="1"/>
    <col min="4113" max="4113" width="8.42578125" style="602" customWidth="1"/>
    <col min="4114" max="4114" width="8.85546875" style="602" customWidth="1"/>
    <col min="4115" max="4115" width="7.28515625" style="602" customWidth="1"/>
    <col min="4116" max="4116" width="7.85546875" style="602" customWidth="1"/>
    <col min="4117" max="4117" width="8" style="602" customWidth="1"/>
    <col min="4118" max="4118" width="7.42578125" style="602" customWidth="1"/>
    <col min="4119" max="4119" width="8.5703125" style="602" customWidth="1"/>
    <col min="4120" max="4120" width="8.7109375" style="602" customWidth="1"/>
    <col min="4121" max="4121" width="7.28515625" style="602" customWidth="1"/>
    <col min="4122" max="4122" width="8" style="602" customWidth="1"/>
    <col min="4123" max="4123" width="8.7109375" style="602" customWidth="1"/>
    <col min="4124" max="4124" width="6.42578125" style="602" customWidth="1"/>
    <col min="4125" max="4126" width="7.7109375" style="602" customWidth="1"/>
    <col min="4127" max="4127" width="7.140625" style="602" customWidth="1"/>
    <col min="4128" max="4128" width="8.140625" style="602" customWidth="1"/>
    <col min="4129" max="4129" width="8.42578125" style="602" customWidth="1"/>
    <col min="4130" max="4130" width="7.42578125" style="602" customWidth="1"/>
    <col min="4131" max="4131" width="8" style="602" customWidth="1"/>
    <col min="4132" max="4132" width="7.7109375" style="602" customWidth="1"/>
    <col min="4133" max="4133" width="6.42578125" style="602" customWidth="1"/>
    <col min="4134" max="4135" width="8" style="602" customWidth="1"/>
    <col min="4136" max="4136" width="7.7109375" style="602" customWidth="1"/>
    <col min="4137" max="4137" width="9.42578125" style="602" bestFit="1" customWidth="1"/>
    <col min="4138" max="4138" width="9" style="602"/>
    <col min="4139" max="4140" width="9.7109375" style="602" bestFit="1" customWidth="1"/>
    <col min="4141" max="4141" width="8.5703125" style="602" bestFit="1" customWidth="1"/>
    <col min="4142" max="4363" width="9" style="602"/>
    <col min="4364" max="4364" width="3.42578125" style="602" customWidth="1"/>
    <col min="4365" max="4365" width="19.42578125" style="602" customWidth="1"/>
    <col min="4366" max="4366" width="8.28515625" style="602" customWidth="1"/>
    <col min="4367" max="4367" width="9.140625" style="602" customWidth="1"/>
    <col min="4368" max="4368" width="7.28515625" style="602" customWidth="1"/>
    <col min="4369" max="4369" width="8.42578125" style="602" customWidth="1"/>
    <col min="4370" max="4370" width="8.85546875" style="602" customWidth="1"/>
    <col min="4371" max="4371" width="7.28515625" style="602" customWidth="1"/>
    <col min="4372" max="4372" width="7.85546875" style="602" customWidth="1"/>
    <col min="4373" max="4373" width="8" style="602" customWidth="1"/>
    <col min="4374" max="4374" width="7.42578125" style="602" customWidth="1"/>
    <col min="4375" max="4375" width="8.5703125" style="602" customWidth="1"/>
    <col min="4376" max="4376" width="8.7109375" style="602" customWidth="1"/>
    <col min="4377" max="4377" width="7.28515625" style="602" customWidth="1"/>
    <col min="4378" max="4378" width="8" style="602" customWidth="1"/>
    <col min="4379" max="4379" width="8.7109375" style="602" customWidth="1"/>
    <col min="4380" max="4380" width="6.42578125" style="602" customWidth="1"/>
    <col min="4381" max="4382" width="7.7109375" style="602" customWidth="1"/>
    <col min="4383" max="4383" width="7.140625" style="602" customWidth="1"/>
    <col min="4384" max="4384" width="8.140625" style="602" customWidth="1"/>
    <col min="4385" max="4385" width="8.42578125" style="602" customWidth="1"/>
    <col min="4386" max="4386" width="7.42578125" style="602" customWidth="1"/>
    <col min="4387" max="4387" width="8" style="602" customWidth="1"/>
    <col min="4388" max="4388" width="7.7109375" style="602" customWidth="1"/>
    <col min="4389" max="4389" width="6.42578125" style="602" customWidth="1"/>
    <col min="4390" max="4391" width="8" style="602" customWidth="1"/>
    <col min="4392" max="4392" width="7.7109375" style="602" customWidth="1"/>
    <col min="4393" max="4393" width="9.42578125" style="602" bestFit="1" customWidth="1"/>
    <col min="4394" max="4394" width="9" style="602"/>
    <col min="4395" max="4396" width="9.7109375" style="602" bestFit="1" customWidth="1"/>
    <col min="4397" max="4397" width="8.5703125" style="602" bestFit="1" customWidth="1"/>
    <col min="4398" max="4619" width="9" style="602"/>
    <col min="4620" max="4620" width="3.42578125" style="602" customWidth="1"/>
    <col min="4621" max="4621" width="19.42578125" style="602" customWidth="1"/>
    <col min="4622" max="4622" width="8.28515625" style="602" customWidth="1"/>
    <col min="4623" max="4623" width="9.140625" style="602" customWidth="1"/>
    <col min="4624" max="4624" width="7.28515625" style="602" customWidth="1"/>
    <col min="4625" max="4625" width="8.42578125" style="602" customWidth="1"/>
    <col min="4626" max="4626" width="8.85546875" style="602" customWidth="1"/>
    <col min="4627" max="4627" width="7.28515625" style="602" customWidth="1"/>
    <col min="4628" max="4628" width="7.85546875" style="602" customWidth="1"/>
    <col min="4629" max="4629" width="8" style="602" customWidth="1"/>
    <col min="4630" max="4630" width="7.42578125" style="602" customWidth="1"/>
    <col min="4631" max="4631" width="8.5703125" style="602" customWidth="1"/>
    <col min="4632" max="4632" width="8.7109375" style="602" customWidth="1"/>
    <col min="4633" max="4633" width="7.28515625" style="602" customWidth="1"/>
    <col min="4634" max="4634" width="8" style="602" customWidth="1"/>
    <col min="4635" max="4635" width="8.7109375" style="602" customWidth="1"/>
    <col min="4636" max="4636" width="6.42578125" style="602" customWidth="1"/>
    <col min="4637" max="4638" width="7.7109375" style="602" customWidth="1"/>
    <col min="4639" max="4639" width="7.140625" style="602" customWidth="1"/>
    <col min="4640" max="4640" width="8.140625" style="602" customWidth="1"/>
    <col min="4641" max="4641" width="8.42578125" style="602" customWidth="1"/>
    <col min="4642" max="4642" width="7.42578125" style="602" customWidth="1"/>
    <col min="4643" max="4643" width="8" style="602" customWidth="1"/>
    <col min="4644" max="4644" width="7.7109375" style="602" customWidth="1"/>
    <col min="4645" max="4645" width="6.42578125" style="602" customWidth="1"/>
    <col min="4646" max="4647" width="8" style="602" customWidth="1"/>
    <col min="4648" max="4648" width="7.7109375" style="602" customWidth="1"/>
    <col min="4649" max="4649" width="9.42578125" style="602" bestFit="1" customWidth="1"/>
    <col min="4650" max="4650" width="9" style="602"/>
    <col min="4651" max="4652" width="9.7109375" style="602" bestFit="1" customWidth="1"/>
    <col min="4653" max="4653" width="8.5703125" style="602" bestFit="1" customWidth="1"/>
    <col min="4654" max="4875" width="9" style="602"/>
    <col min="4876" max="4876" width="3.42578125" style="602" customWidth="1"/>
    <col min="4877" max="4877" width="19.42578125" style="602" customWidth="1"/>
    <col min="4878" max="4878" width="8.28515625" style="602" customWidth="1"/>
    <col min="4879" max="4879" width="9.140625" style="602" customWidth="1"/>
    <col min="4880" max="4880" width="7.28515625" style="602" customWidth="1"/>
    <col min="4881" max="4881" width="8.42578125" style="602" customWidth="1"/>
    <col min="4882" max="4882" width="8.85546875" style="602" customWidth="1"/>
    <col min="4883" max="4883" width="7.28515625" style="602" customWidth="1"/>
    <col min="4884" max="4884" width="7.85546875" style="602" customWidth="1"/>
    <col min="4885" max="4885" width="8" style="602" customWidth="1"/>
    <col min="4886" max="4886" width="7.42578125" style="602" customWidth="1"/>
    <col min="4887" max="4887" width="8.5703125" style="602" customWidth="1"/>
    <col min="4888" max="4888" width="8.7109375" style="602" customWidth="1"/>
    <col min="4889" max="4889" width="7.28515625" style="602" customWidth="1"/>
    <col min="4890" max="4890" width="8" style="602" customWidth="1"/>
    <col min="4891" max="4891" width="8.7109375" style="602" customWidth="1"/>
    <col min="4892" max="4892" width="6.42578125" style="602" customWidth="1"/>
    <col min="4893" max="4894" width="7.7109375" style="602" customWidth="1"/>
    <col min="4895" max="4895" width="7.140625" style="602" customWidth="1"/>
    <col min="4896" max="4896" width="8.140625" style="602" customWidth="1"/>
    <col min="4897" max="4897" width="8.42578125" style="602" customWidth="1"/>
    <col min="4898" max="4898" width="7.42578125" style="602" customWidth="1"/>
    <col min="4899" max="4899" width="8" style="602" customWidth="1"/>
    <col min="4900" max="4900" width="7.7109375" style="602" customWidth="1"/>
    <col min="4901" max="4901" width="6.42578125" style="602" customWidth="1"/>
    <col min="4902" max="4903" width="8" style="602" customWidth="1"/>
    <col min="4904" max="4904" width="7.7109375" style="602" customWidth="1"/>
    <col min="4905" max="4905" width="9.42578125" style="602" bestFit="1" customWidth="1"/>
    <col min="4906" max="4906" width="9" style="602"/>
    <col min="4907" max="4908" width="9.7109375" style="602" bestFit="1" customWidth="1"/>
    <col min="4909" max="4909" width="8.5703125" style="602" bestFit="1" customWidth="1"/>
    <col min="4910" max="5131" width="9" style="602"/>
    <col min="5132" max="5132" width="3.42578125" style="602" customWidth="1"/>
    <col min="5133" max="5133" width="19.42578125" style="602" customWidth="1"/>
    <col min="5134" max="5134" width="8.28515625" style="602" customWidth="1"/>
    <col min="5135" max="5135" width="9.140625" style="602" customWidth="1"/>
    <col min="5136" max="5136" width="7.28515625" style="602" customWidth="1"/>
    <col min="5137" max="5137" width="8.42578125" style="602" customWidth="1"/>
    <col min="5138" max="5138" width="8.85546875" style="602" customWidth="1"/>
    <col min="5139" max="5139" width="7.28515625" style="602" customWidth="1"/>
    <col min="5140" max="5140" width="7.85546875" style="602" customWidth="1"/>
    <col min="5141" max="5141" width="8" style="602" customWidth="1"/>
    <col min="5142" max="5142" width="7.42578125" style="602" customWidth="1"/>
    <col min="5143" max="5143" width="8.5703125" style="602" customWidth="1"/>
    <col min="5144" max="5144" width="8.7109375" style="602" customWidth="1"/>
    <col min="5145" max="5145" width="7.28515625" style="602" customWidth="1"/>
    <col min="5146" max="5146" width="8" style="602" customWidth="1"/>
    <col min="5147" max="5147" width="8.7109375" style="602" customWidth="1"/>
    <col min="5148" max="5148" width="6.42578125" style="602" customWidth="1"/>
    <col min="5149" max="5150" width="7.7109375" style="602" customWidth="1"/>
    <col min="5151" max="5151" width="7.140625" style="602" customWidth="1"/>
    <col min="5152" max="5152" width="8.140625" style="602" customWidth="1"/>
    <col min="5153" max="5153" width="8.42578125" style="602" customWidth="1"/>
    <col min="5154" max="5154" width="7.42578125" style="602" customWidth="1"/>
    <col min="5155" max="5155" width="8" style="602" customWidth="1"/>
    <col min="5156" max="5156" width="7.7109375" style="602" customWidth="1"/>
    <col min="5157" max="5157" width="6.42578125" style="602" customWidth="1"/>
    <col min="5158" max="5159" width="8" style="602" customWidth="1"/>
    <col min="5160" max="5160" width="7.7109375" style="602" customWidth="1"/>
    <col min="5161" max="5161" width="9.42578125" style="602" bestFit="1" customWidth="1"/>
    <col min="5162" max="5162" width="9" style="602"/>
    <col min="5163" max="5164" width="9.7109375" style="602" bestFit="1" customWidth="1"/>
    <col min="5165" max="5165" width="8.5703125" style="602" bestFit="1" customWidth="1"/>
    <col min="5166" max="5387" width="9" style="602"/>
    <col min="5388" max="5388" width="3.42578125" style="602" customWidth="1"/>
    <col min="5389" max="5389" width="19.42578125" style="602" customWidth="1"/>
    <col min="5390" max="5390" width="8.28515625" style="602" customWidth="1"/>
    <col min="5391" max="5391" width="9.140625" style="602" customWidth="1"/>
    <col min="5392" max="5392" width="7.28515625" style="602" customWidth="1"/>
    <col min="5393" max="5393" width="8.42578125" style="602" customWidth="1"/>
    <col min="5394" max="5394" width="8.85546875" style="602" customWidth="1"/>
    <col min="5395" max="5395" width="7.28515625" style="602" customWidth="1"/>
    <col min="5396" max="5396" width="7.85546875" style="602" customWidth="1"/>
    <col min="5397" max="5397" width="8" style="602" customWidth="1"/>
    <col min="5398" max="5398" width="7.42578125" style="602" customWidth="1"/>
    <col min="5399" max="5399" width="8.5703125" style="602" customWidth="1"/>
    <col min="5400" max="5400" width="8.7109375" style="602" customWidth="1"/>
    <col min="5401" max="5401" width="7.28515625" style="602" customWidth="1"/>
    <col min="5402" max="5402" width="8" style="602" customWidth="1"/>
    <col min="5403" max="5403" width="8.7109375" style="602" customWidth="1"/>
    <col min="5404" max="5404" width="6.42578125" style="602" customWidth="1"/>
    <col min="5405" max="5406" width="7.7109375" style="602" customWidth="1"/>
    <col min="5407" max="5407" width="7.140625" style="602" customWidth="1"/>
    <col min="5408" max="5408" width="8.140625" style="602" customWidth="1"/>
    <col min="5409" max="5409" width="8.42578125" style="602" customWidth="1"/>
    <col min="5410" max="5410" width="7.42578125" style="602" customWidth="1"/>
    <col min="5411" max="5411" width="8" style="602" customWidth="1"/>
    <col min="5412" max="5412" width="7.7109375" style="602" customWidth="1"/>
    <col min="5413" max="5413" width="6.42578125" style="602" customWidth="1"/>
    <col min="5414" max="5415" width="8" style="602" customWidth="1"/>
    <col min="5416" max="5416" width="7.7109375" style="602" customWidth="1"/>
    <col min="5417" max="5417" width="9.42578125" style="602" bestFit="1" customWidth="1"/>
    <col min="5418" max="5418" width="9" style="602"/>
    <col min="5419" max="5420" width="9.7109375" style="602" bestFit="1" customWidth="1"/>
    <col min="5421" max="5421" width="8.5703125" style="602" bestFit="1" customWidth="1"/>
    <col min="5422" max="5643" width="9" style="602"/>
    <col min="5644" max="5644" width="3.42578125" style="602" customWidth="1"/>
    <col min="5645" max="5645" width="19.42578125" style="602" customWidth="1"/>
    <col min="5646" max="5646" width="8.28515625" style="602" customWidth="1"/>
    <col min="5647" max="5647" width="9.140625" style="602" customWidth="1"/>
    <col min="5648" max="5648" width="7.28515625" style="602" customWidth="1"/>
    <col min="5649" max="5649" width="8.42578125" style="602" customWidth="1"/>
    <col min="5650" max="5650" width="8.85546875" style="602" customWidth="1"/>
    <col min="5651" max="5651" width="7.28515625" style="602" customWidth="1"/>
    <col min="5652" max="5652" width="7.85546875" style="602" customWidth="1"/>
    <col min="5653" max="5653" width="8" style="602" customWidth="1"/>
    <col min="5654" max="5654" width="7.42578125" style="602" customWidth="1"/>
    <col min="5655" max="5655" width="8.5703125" style="602" customWidth="1"/>
    <col min="5656" max="5656" width="8.7109375" style="602" customWidth="1"/>
    <col min="5657" max="5657" width="7.28515625" style="602" customWidth="1"/>
    <col min="5658" max="5658" width="8" style="602" customWidth="1"/>
    <col min="5659" max="5659" width="8.7109375" style="602" customWidth="1"/>
    <col min="5660" max="5660" width="6.42578125" style="602" customWidth="1"/>
    <col min="5661" max="5662" width="7.7109375" style="602" customWidth="1"/>
    <col min="5663" max="5663" width="7.140625" style="602" customWidth="1"/>
    <col min="5664" max="5664" width="8.140625" style="602" customWidth="1"/>
    <col min="5665" max="5665" width="8.42578125" style="602" customWidth="1"/>
    <col min="5666" max="5666" width="7.42578125" style="602" customWidth="1"/>
    <col min="5667" max="5667" width="8" style="602" customWidth="1"/>
    <col min="5668" max="5668" width="7.7109375" style="602" customWidth="1"/>
    <col min="5669" max="5669" width="6.42578125" style="602" customWidth="1"/>
    <col min="5670" max="5671" width="8" style="602" customWidth="1"/>
    <col min="5672" max="5672" width="7.7109375" style="602" customWidth="1"/>
    <col min="5673" max="5673" width="9.42578125" style="602" bestFit="1" customWidth="1"/>
    <col min="5674" max="5674" width="9" style="602"/>
    <col min="5675" max="5676" width="9.7109375" style="602" bestFit="1" customWidth="1"/>
    <col min="5677" max="5677" width="8.5703125" style="602" bestFit="1" customWidth="1"/>
    <col min="5678" max="5899" width="9" style="602"/>
    <col min="5900" max="5900" width="3.42578125" style="602" customWidth="1"/>
    <col min="5901" max="5901" width="19.42578125" style="602" customWidth="1"/>
    <col min="5902" max="5902" width="8.28515625" style="602" customWidth="1"/>
    <col min="5903" max="5903" width="9.140625" style="602" customWidth="1"/>
    <col min="5904" max="5904" width="7.28515625" style="602" customWidth="1"/>
    <col min="5905" max="5905" width="8.42578125" style="602" customWidth="1"/>
    <col min="5906" max="5906" width="8.85546875" style="602" customWidth="1"/>
    <col min="5907" max="5907" width="7.28515625" style="602" customWidth="1"/>
    <col min="5908" max="5908" width="7.85546875" style="602" customWidth="1"/>
    <col min="5909" max="5909" width="8" style="602" customWidth="1"/>
    <col min="5910" max="5910" width="7.42578125" style="602" customWidth="1"/>
    <col min="5911" max="5911" width="8.5703125" style="602" customWidth="1"/>
    <col min="5912" max="5912" width="8.7109375" style="602" customWidth="1"/>
    <col min="5913" max="5913" width="7.28515625" style="602" customWidth="1"/>
    <col min="5914" max="5914" width="8" style="602" customWidth="1"/>
    <col min="5915" max="5915" width="8.7109375" style="602" customWidth="1"/>
    <col min="5916" max="5916" width="6.42578125" style="602" customWidth="1"/>
    <col min="5917" max="5918" width="7.7109375" style="602" customWidth="1"/>
    <col min="5919" max="5919" width="7.140625" style="602" customWidth="1"/>
    <col min="5920" max="5920" width="8.140625" style="602" customWidth="1"/>
    <col min="5921" max="5921" width="8.42578125" style="602" customWidth="1"/>
    <col min="5922" max="5922" width="7.42578125" style="602" customWidth="1"/>
    <col min="5923" max="5923" width="8" style="602" customWidth="1"/>
    <col min="5924" max="5924" width="7.7109375" style="602" customWidth="1"/>
    <col min="5925" max="5925" width="6.42578125" style="602" customWidth="1"/>
    <col min="5926" max="5927" width="8" style="602" customWidth="1"/>
    <col min="5928" max="5928" width="7.7109375" style="602" customWidth="1"/>
    <col min="5929" max="5929" width="9.42578125" style="602" bestFit="1" customWidth="1"/>
    <col min="5930" max="5930" width="9" style="602"/>
    <col min="5931" max="5932" width="9.7109375" style="602" bestFit="1" customWidth="1"/>
    <col min="5933" max="5933" width="8.5703125" style="602" bestFit="1" customWidth="1"/>
    <col min="5934" max="6155" width="9" style="602"/>
    <col min="6156" max="6156" width="3.42578125" style="602" customWidth="1"/>
    <col min="6157" max="6157" width="19.42578125" style="602" customWidth="1"/>
    <col min="6158" max="6158" width="8.28515625" style="602" customWidth="1"/>
    <col min="6159" max="6159" width="9.140625" style="602" customWidth="1"/>
    <col min="6160" max="6160" width="7.28515625" style="602" customWidth="1"/>
    <col min="6161" max="6161" width="8.42578125" style="602" customWidth="1"/>
    <col min="6162" max="6162" width="8.85546875" style="602" customWidth="1"/>
    <col min="6163" max="6163" width="7.28515625" style="602" customWidth="1"/>
    <col min="6164" max="6164" width="7.85546875" style="602" customWidth="1"/>
    <col min="6165" max="6165" width="8" style="602" customWidth="1"/>
    <col min="6166" max="6166" width="7.42578125" style="602" customWidth="1"/>
    <col min="6167" max="6167" width="8.5703125" style="602" customWidth="1"/>
    <col min="6168" max="6168" width="8.7109375" style="602" customWidth="1"/>
    <col min="6169" max="6169" width="7.28515625" style="602" customWidth="1"/>
    <col min="6170" max="6170" width="8" style="602" customWidth="1"/>
    <col min="6171" max="6171" width="8.7109375" style="602" customWidth="1"/>
    <col min="6172" max="6172" width="6.42578125" style="602" customWidth="1"/>
    <col min="6173" max="6174" width="7.7109375" style="602" customWidth="1"/>
    <col min="6175" max="6175" width="7.140625" style="602" customWidth="1"/>
    <col min="6176" max="6176" width="8.140625" style="602" customWidth="1"/>
    <col min="6177" max="6177" width="8.42578125" style="602" customWidth="1"/>
    <col min="6178" max="6178" width="7.42578125" style="602" customWidth="1"/>
    <col min="6179" max="6179" width="8" style="602" customWidth="1"/>
    <col min="6180" max="6180" width="7.7109375" style="602" customWidth="1"/>
    <col min="6181" max="6181" width="6.42578125" style="602" customWidth="1"/>
    <col min="6182" max="6183" width="8" style="602" customWidth="1"/>
    <col min="6184" max="6184" width="7.7109375" style="602" customWidth="1"/>
    <col min="6185" max="6185" width="9.42578125" style="602" bestFit="1" customWidth="1"/>
    <col min="6186" max="6186" width="9" style="602"/>
    <col min="6187" max="6188" width="9.7109375" style="602" bestFit="1" customWidth="1"/>
    <col min="6189" max="6189" width="8.5703125" style="602" bestFit="1" customWidth="1"/>
    <col min="6190" max="6411" width="9" style="602"/>
    <col min="6412" max="6412" width="3.42578125" style="602" customWidth="1"/>
    <col min="6413" max="6413" width="19.42578125" style="602" customWidth="1"/>
    <col min="6414" max="6414" width="8.28515625" style="602" customWidth="1"/>
    <col min="6415" max="6415" width="9.140625" style="602" customWidth="1"/>
    <col min="6416" max="6416" width="7.28515625" style="602" customWidth="1"/>
    <col min="6417" max="6417" width="8.42578125" style="602" customWidth="1"/>
    <col min="6418" max="6418" width="8.85546875" style="602" customWidth="1"/>
    <col min="6419" max="6419" width="7.28515625" style="602" customWidth="1"/>
    <col min="6420" max="6420" width="7.85546875" style="602" customWidth="1"/>
    <col min="6421" max="6421" width="8" style="602" customWidth="1"/>
    <col min="6422" max="6422" width="7.42578125" style="602" customWidth="1"/>
    <col min="6423" max="6423" width="8.5703125" style="602" customWidth="1"/>
    <col min="6424" max="6424" width="8.7109375" style="602" customWidth="1"/>
    <col min="6425" max="6425" width="7.28515625" style="602" customWidth="1"/>
    <col min="6426" max="6426" width="8" style="602" customWidth="1"/>
    <col min="6427" max="6427" width="8.7109375" style="602" customWidth="1"/>
    <col min="6428" max="6428" width="6.42578125" style="602" customWidth="1"/>
    <col min="6429" max="6430" width="7.7109375" style="602" customWidth="1"/>
    <col min="6431" max="6431" width="7.140625" style="602" customWidth="1"/>
    <col min="6432" max="6432" width="8.140625" style="602" customWidth="1"/>
    <col min="6433" max="6433" width="8.42578125" style="602" customWidth="1"/>
    <col min="6434" max="6434" width="7.42578125" style="602" customWidth="1"/>
    <col min="6435" max="6435" width="8" style="602" customWidth="1"/>
    <col min="6436" max="6436" width="7.7109375" style="602" customWidth="1"/>
    <col min="6437" max="6437" width="6.42578125" style="602" customWidth="1"/>
    <col min="6438" max="6439" width="8" style="602" customWidth="1"/>
    <col min="6440" max="6440" width="7.7109375" style="602" customWidth="1"/>
    <col min="6441" max="6441" width="9.42578125" style="602" bestFit="1" customWidth="1"/>
    <col min="6442" max="6442" width="9" style="602"/>
    <col min="6443" max="6444" width="9.7109375" style="602" bestFit="1" customWidth="1"/>
    <col min="6445" max="6445" width="8.5703125" style="602" bestFit="1" customWidth="1"/>
    <col min="6446" max="6667" width="9" style="602"/>
    <col min="6668" max="6668" width="3.42578125" style="602" customWidth="1"/>
    <col min="6669" max="6669" width="19.42578125" style="602" customWidth="1"/>
    <col min="6670" max="6670" width="8.28515625" style="602" customWidth="1"/>
    <col min="6671" max="6671" width="9.140625" style="602" customWidth="1"/>
    <col min="6672" max="6672" width="7.28515625" style="602" customWidth="1"/>
    <col min="6673" max="6673" width="8.42578125" style="602" customWidth="1"/>
    <col min="6674" max="6674" width="8.85546875" style="602" customWidth="1"/>
    <col min="6675" max="6675" width="7.28515625" style="602" customWidth="1"/>
    <col min="6676" max="6676" width="7.85546875" style="602" customWidth="1"/>
    <col min="6677" max="6677" width="8" style="602" customWidth="1"/>
    <col min="6678" max="6678" width="7.42578125" style="602" customWidth="1"/>
    <col min="6679" max="6679" width="8.5703125" style="602" customWidth="1"/>
    <col min="6680" max="6680" width="8.7109375" style="602" customWidth="1"/>
    <col min="6681" max="6681" width="7.28515625" style="602" customWidth="1"/>
    <col min="6682" max="6682" width="8" style="602" customWidth="1"/>
    <col min="6683" max="6683" width="8.7109375" style="602" customWidth="1"/>
    <col min="6684" max="6684" width="6.42578125" style="602" customWidth="1"/>
    <col min="6685" max="6686" width="7.7109375" style="602" customWidth="1"/>
    <col min="6687" max="6687" width="7.140625" style="602" customWidth="1"/>
    <col min="6688" max="6688" width="8.140625" style="602" customWidth="1"/>
    <col min="6689" max="6689" width="8.42578125" style="602" customWidth="1"/>
    <col min="6690" max="6690" width="7.42578125" style="602" customWidth="1"/>
    <col min="6691" max="6691" width="8" style="602" customWidth="1"/>
    <col min="6692" max="6692" width="7.7109375" style="602" customWidth="1"/>
    <col min="6693" max="6693" width="6.42578125" style="602" customWidth="1"/>
    <col min="6694" max="6695" width="8" style="602" customWidth="1"/>
    <col min="6696" max="6696" width="7.7109375" style="602" customWidth="1"/>
    <col min="6697" max="6697" width="9.42578125" style="602" bestFit="1" customWidth="1"/>
    <col min="6698" max="6698" width="9" style="602"/>
    <col min="6699" max="6700" width="9.7109375" style="602" bestFit="1" customWidth="1"/>
    <col min="6701" max="6701" width="8.5703125" style="602" bestFit="1" customWidth="1"/>
    <col min="6702" max="6923" width="9" style="602"/>
    <col min="6924" max="6924" width="3.42578125" style="602" customWidth="1"/>
    <col min="6925" max="6925" width="19.42578125" style="602" customWidth="1"/>
    <col min="6926" max="6926" width="8.28515625" style="602" customWidth="1"/>
    <col min="6927" max="6927" width="9.140625" style="602" customWidth="1"/>
    <col min="6928" max="6928" width="7.28515625" style="602" customWidth="1"/>
    <col min="6929" max="6929" width="8.42578125" style="602" customWidth="1"/>
    <col min="6930" max="6930" width="8.85546875" style="602" customWidth="1"/>
    <col min="6931" max="6931" width="7.28515625" style="602" customWidth="1"/>
    <col min="6932" max="6932" width="7.85546875" style="602" customWidth="1"/>
    <col min="6933" max="6933" width="8" style="602" customWidth="1"/>
    <col min="6934" max="6934" width="7.42578125" style="602" customWidth="1"/>
    <col min="6935" max="6935" width="8.5703125" style="602" customWidth="1"/>
    <col min="6936" max="6936" width="8.7109375" style="602" customWidth="1"/>
    <col min="6937" max="6937" width="7.28515625" style="602" customWidth="1"/>
    <col min="6938" max="6938" width="8" style="602" customWidth="1"/>
    <col min="6939" max="6939" width="8.7109375" style="602" customWidth="1"/>
    <col min="6940" max="6940" width="6.42578125" style="602" customWidth="1"/>
    <col min="6941" max="6942" width="7.7109375" style="602" customWidth="1"/>
    <col min="6943" max="6943" width="7.140625" style="602" customWidth="1"/>
    <col min="6944" max="6944" width="8.140625" style="602" customWidth="1"/>
    <col min="6945" max="6945" width="8.42578125" style="602" customWidth="1"/>
    <col min="6946" max="6946" width="7.42578125" style="602" customWidth="1"/>
    <col min="6947" max="6947" width="8" style="602" customWidth="1"/>
    <col min="6948" max="6948" width="7.7109375" style="602" customWidth="1"/>
    <col min="6949" max="6949" width="6.42578125" style="602" customWidth="1"/>
    <col min="6950" max="6951" width="8" style="602" customWidth="1"/>
    <col min="6952" max="6952" width="7.7109375" style="602" customWidth="1"/>
    <col min="6953" max="6953" width="9.42578125" style="602" bestFit="1" customWidth="1"/>
    <col min="6954" max="6954" width="9" style="602"/>
    <col min="6955" max="6956" width="9.7109375" style="602" bestFit="1" customWidth="1"/>
    <col min="6957" max="6957" width="8.5703125" style="602" bestFit="1" customWidth="1"/>
    <col min="6958" max="7179" width="9" style="602"/>
    <col min="7180" max="7180" width="3.42578125" style="602" customWidth="1"/>
    <col min="7181" max="7181" width="19.42578125" style="602" customWidth="1"/>
    <col min="7182" max="7182" width="8.28515625" style="602" customWidth="1"/>
    <col min="7183" max="7183" width="9.140625" style="602" customWidth="1"/>
    <col min="7184" max="7184" width="7.28515625" style="602" customWidth="1"/>
    <col min="7185" max="7185" width="8.42578125" style="602" customWidth="1"/>
    <col min="7186" max="7186" width="8.85546875" style="602" customWidth="1"/>
    <col min="7187" max="7187" width="7.28515625" style="602" customWidth="1"/>
    <col min="7188" max="7188" width="7.85546875" style="602" customWidth="1"/>
    <col min="7189" max="7189" width="8" style="602" customWidth="1"/>
    <col min="7190" max="7190" width="7.42578125" style="602" customWidth="1"/>
    <col min="7191" max="7191" width="8.5703125" style="602" customWidth="1"/>
    <col min="7192" max="7192" width="8.7109375" style="602" customWidth="1"/>
    <col min="7193" max="7193" width="7.28515625" style="602" customWidth="1"/>
    <col min="7194" max="7194" width="8" style="602" customWidth="1"/>
    <col min="7195" max="7195" width="8.7109375" style="602" customWidth="1"/>
    <col min="7196" max="7196" width="6.42578125" style="602" customWidth="1"/>
    <col min="7197" max="7198" width="7.7109375" style="602" customWidth="1"/>
    <col min="7199" max="7199" width="7.140625" style="602" customWidth="1"/>
    <col min="7200" max="7200" width="8.140625" style="602" customWidth="1"/>
    <col min="7201" max="7201" width="8.42578125" style="602" customWidth="1"/>
    <col min="7202" max="7202" width="7.42578125" style="602" customWidth="1"/>
    <col min="7203" max="7203" width="8" style="602" customWidth="1"/>
    <col min="7204" max="7204" width="7.7109375" style="602" customWidth="1"/>
    <col min="7205" max="7205" width="6.42578125" style="602" customWidth="1"/>
    <col min="7206" max="7207" width="8" style="602" customWidth="1"/>
    <col min="7208" max="7208" width="7.7109375" style="602" customWidth="1"/>
    <col min="7209" max="7209" width="9.42578125" style="602" bestFit="1" customWidth="1"/>
    <col min="7210" max="7210" width="9" style="602"/>
    <col min="7211" max="7212" width="9.7109375" style="602" bestFit="1" customWidth="1"/>
    <col min="7213" max="7213" width="8.5703125" style="602" bestFit="1" customWidth="1"/>
    <col min="7214" max="7435" width="9" style="602"/>
    <col min="7436" max="7436" width="3.42578125" style="602" customWidth="1"/>
    <col min="7437" max="7437" width="19.42578125" style="602" customWidth="1"/>
    <col min="7438" max="7438" width="8.28515625" style="602" customWidth="1"/>
    <col min="7439" max="7439" width="9.140625" style="602" customWidth="1"/>
    <col min="7440" max="7440" width="7.28515625" style="602" customWidth="1"/>
    <col min="7441" max="7441" width="8.42578125" style="602" customWidth="1"/>
    <col min="7442" max="7442" width="8.85546875" style="602" customWidth="1"/>
    <col min="7443" max="7443" width="7.28515625" style="602" customWidth="1"/>
    <col min="7444" max="7444" width="7.85546875" style="602" customWidth="1"/>
    <col min="7445" max="7445" width="8" style="602" customWidth="1"/>
    <col min="7446" max="7446" width="7.42578125" style="602" customWidth="1"/>
    <col min="7447" max="7447" width="8.5703125" style="602" customWidth="1"/>
    <col min="7448" max="7448" width="8.7109375" style="602" customWidth="1"/>
    <col min="7449" max="7449" width="7.28515625" style="602" customWidth="1"/>
    <col min="7450" max="7450" width="8" style="602" customWidth="1"/>
    <col min="7451" max="7451" width="8.7109375" style="602" customWidth="1"/>
    <col min="7452" max="7452" width="6.42578125" style="602" customWidth="1"/>
    <col min="7453" max="7454" width="7.7109375" style="602" customWidth="1"/>
    <col min="7455" max="7455" width="7.140625" style="602" customWidth="1"/>
    <col min="7456" max="7456" width="8.140625" style="602" customWidth="1"/>
    <col min="7457" max="7457" width="8.42578125" style="602" customWidth="1"/>
    <col min="7458" max="7458" width="7.42578125" style="602" customWidth="1"/>
    <col min="7459" max="7459" width="8" style="602" customWidth="1"/>
    <col min="7460" max="7460" width="7.7109375" style="602" customWidth="1"/>
    <col min="7461" max="7461" width="6.42578125" style="602" customWidth="1"/>
    <col min="7462" max="7463" width="8" style="602" customWidth="1"/>
    <col min="7464" max="7464" width="7.7109375" style="602" customWidth="1"/>
    <col min="7465" max="7465" width="9.42578125" style="602" bestFit="1" customWidth="1"/>
    <col min="7466" max="7466" width="9" style="602"/>
    <col min="7467" max="7468" width="9.7109375" style="602" bestFit="1" customWidth="1"/>
    <col min="7469" max="7469" width="8.5703125" style="602" bestFit="1" customWidth="1"/>
    <col min="7470" max="7691" width="9" style="602"/>
    <col min="7692" max="7692" width="3.42578125" style="602" customWidth="1"/>
    <col min="7693" max="7693" width="19.42578125" style="602" customWidth="1"/>
    <col min="7694" max="7694" width="8.28515625" style="602" customWidth="1"/>
    <col min="7695" max="7695" width="9.140625" style="602" customWidth="1"/>
    <col min="7696" max="7696" width="7.28515625" style="602" customWidth="1"/>
    <col min="7697" max="7697" width="8.42578125" style="602" customWidth="1"/>
    <col min="7698" max="7698" width="8.85546875" style="602" customWidth="1"/>
    <col min="7699" max="7699" width="7.28515625" style="602" customWidth="1"/>
    <col min="7700" max="7700" width="7.85546875" style="602" customWidth="1"/>
    <col min="7701" max="7701" width="8" style="602" customWidth="1"/>
    <col min="7702" max="7702" width="7.42578125" style="602" customWidth="1"/>
    <col min="7703" max="7703" width="8.5703125" style="602" customWidth="1"/>
    <col min="7704" max="7704" width="8.7109375" style="602" customWidth="1"/>
    <col min="7705" max="7705" width="7.28515625" style="602" customWidth="1"/>
    <col min="7706" max="7706" width="8" style="602" customWidth="1"/>
    <col min="7707" max="7707" width="8.7109375" style="602" customWidth="1"/>
    <col min="7708" max="7708" width="6.42578125" style="602" customWidth="1"/>
    <col min="7709" max="7710" width="7.7109375" style="602" customWidth="1"/>
    <col min="7711" max="7711" width="7.140625" style="602" customWidth="1"/>
    <col min="7712" max="7712" width="8.140625" style="602" customWidth="1"/>
    <col min="7713" max="7713" width="8.42578125" style="602" customWidth="1"/>
    <col min="7714" max="7714" width="7.42578125" style="602" customWidth="1"/>
    <col min="7715" max="7715" width="8" style="602" customWidth="1"/>
    <col min="7716" max="7716" width="7.7109375" style="602" customWidth="1"/>
    <col min="7717" max="7717" width="6.42578125" style="602" customWidth="1"/>
    <col min="7718" max="7719" width="8" style="602" customWidth="1"/>
    <col min="7720" max="7720" width="7.7109375" style="602" customWidth="1"/>
    <col min="7721" max="7721" width="9.42578125" style="602" bestFit="1" customWidth="1"/>
    <col min="7722" max="7722" width="9" style="602"/>
    <col min="7723" max="7724" width="9.7109375" style="602" bestFit="1" customWidth="1"/>
    <col min="7725" max="7725" width="8.5703125" style="602" bestFit="1" customWidth="1"/>
    <col min="7726" max="7947" width="9" style="602"/>
    <col min="7948" max="7948" width="3.42578125" style="602" customWidth="1"/>
    <col min="7949" max="7949" width="19.42578125" style="602" customWidth="1"/>
    <col min="7950" max="7950" width="8.28515625" style="602" customWidth="1"/>
    <col min="7951" max="7951" width="9.140625" style="602" customWidth="1"/>
    <col min="7952" max="7952" width="7.28515625" style="602" customWidth="1"/>
    <col min="7953" max="7953" width="8.42578125" style="602" customWidth="1"/>
    <col min="7954" max="7954" width="8.85546875" style="602" customWidth="1"/>
    <col min="7955" max="7955" width="7.28515625" style="602" customWidth="1"/>
    <col min="7956" max="7956" width="7.85546875" style="602" customWidth="1"/>
    <col min="7957" max="7957" width="8" style="602" customWidth="1"/>
    <col min="7958" max="7958" width="7.42578125" style="602" customWidth="1"/>
    <col min="7959" max="7959" width="8.5703125" style="602" customWidth="1"/>
    <col min="7960" max="7960" width="8.7109375" style="602" customWidth="1"/>
    <col min="7961" max="7961" width="7.28515625" style="602" customWidth="1"/>
    <col min="7962" max="7962" width="8" style="602" customWidth="1"/>
    <col min="7963" max="7963" width="8.7109375" style="602" customWidth="1"/>
    <col min="7964" max="7964" width="6.42578125" style="602" customWidth="1"/>
    <col min="7965" max="7966" width="7.7109375" style="602" customWidth="1"/>
    <col min="7967" max="7967" width="7.140625" style="602" customWidth="1"/>
    <col min="7968" max="7968" width="8.140625" style="602" customWidth="1"/>
    <col min="7969" max="7969" width="8.42578125" style="602" customWidth="1"/>
    <col min="7970" max="7970" width="7.42578125" style="602" customWidth="1"/>
    <col min="7971" max="7971" width="8" style="602" customWidth="1"/>
    <col min="7972" max="7972" width="7.7109375" style="602" customWidth="1"/>
    <col min="7973" max="7973" width="6.42578125" style="602" customWidth="1"/>
    <col min="7974" max="7975" width="8" style="602" customWidth="1"/>
    <col min="7976" max="7976" width="7.7109375" style="602" customWidth="1"/>
    <col min="7977" max="7977" width="9.42578125" style="602" bestFit="1" customWidth="1"/>
    <col min="7978" max="7978" width="9" style="602"/>
    <col min="7979" max="7980" width="9.7109375" style="602" bestFit="1" customWidth="1"/>
    <col min="7981" max="7981" width="8.5703125" style="602" bestFit="1" customWidth="1"/>
    <col min="7982" max="8203" width="9" style="602"/>
    <col min="8204" max="8204" width="3.42578125" style="602" customWidth="1"/>
    <col min="8205" max="8205" width="19.42578125" style="602" customWidth="1"/>
    <col min="8206" max="8206" width="8.28515625" style="602" customWidth="1"/>
    <col min="8207" max="8207" width="9.140625" style="602" customWidth="1"/>
    <col min="8208" max="8208" width="7.28515625" style="602" customWidth="1"/>
    <col min="8209" max="8209" width="8.42578125" style="602" customWidth="1"/>
    <col min="8210" max="8210" width="8.85546875" style="602" customWidth="1"/>
    <col min="8211" max="8211" width="7.28515625" style="602" customWidth="1"/>
    <col min="8212" max="8212" width="7.85546875" style="602" customWidth="1"/>
    <col min="8213" max="8213" width="8" style="602" customWidth="1"/>
    <col min="8214" max="8214" width="7.42578125" style="602" customWidth="1"/>
    <col min="8215" max="8215" width="8.5703125" style="602" customWidth="1"/>
    <col min="8216" max="8216" width="8.7109375" style="602" customWidth="1"/>
    <col min="8217" max="8217" width="7.28515625" style="602" customWidth="1"/>
    <col min="8218" max="8218" width="8" style="602" customWidth="1"/>
    <col min="8219" max="8219" width="8.7109375" style="602" customWidth="1"/>
    <col min="8220" max="8220" width="6.42578125" style="602" customWidth="1"/>
    <col min="8221" max="8222" width="7.7109375" style="602" customWidth="1"/>
    <col min="8223" max="8223" width="7.140625" style="602" customWidth="1"/>
    <col min="8224" max="8224" width="8.140625" style="602" customWidth="1"/>
    <col min="8225" max="8225" width="8.42578125" style="602" customWidth="1"/>
    <col min="8226" max="8226" width="7.42578125" style="602" customWidth="1"/>
    <col min="8227" max="8227" width="8" style="602" customWidth="1"/>
    <col min="8228" max="8228" width="7.7109375" style="602" customWidth="1"/>
    <col min="8229" max="8229" width="6.42578125" style="602" customWidth="1"/>
    <col min="8230" max="8231" width="8" style="602" customWidth="1"/>
    <col min="8232" max="8232" width="7.7109375" style="602" customWidth="1"/>
    <col min="8233" max="8233" width="9.42578125" style="602" bestFit="1" customWidth="1"/>
    <col min="8234" max="8234" width="9" style="602"/>
    <col min="8235" max="8236" width="9.7109375" style="602" bestFit="1" customWidth="1"/>
    <col min="8237" max="8237" width="8.5703125" style="602" bestFit="1" customWidth="1"/>
    <col min="8238" max="8459" width="9" style="602"/>
    <col min="8460" max="8460" width="3.42578125" style="602" customWidth="1"/>
    <col min="8461" max="8461" width="19.42578125" style="602" customWidth="1"/>
    <col min="8462" max="8462" width="8.28515625" style="602" customWidth="1"/>
    <col min="8463" max="8463" width="9.140625" style="602" customWidth="1"/>
    <col min="8464" max="8464" width="7.28515625" style="602" customWidth="1"/>
    <col min="8465" max="8465" width="8.42578125" style="602" customWidth="1"/>
    <col min="8466" max="8466" width="8.85546875" style="602" customWidth="1"/>
    <col min="8467" max="8467" width="7.28515625" style="602" customWidth="1"/>
    <col min="8468" max="8468" width="7.85546875" style="602" customWidth="1"/>
    <col min="8469" max="8469" width="8" style="602" customWidth="1"/>
    <col min="8470" max="8470" width="7.42578125" style="602" customWidth="1"/>
    <col min="8471" max="8471" width="8.5703125" style="602" customWidth="1"/>
    <col min="8472" max="8472" width="8.7109375" style="602" customWidth="1"/>
    <col min="8473" max="8473" width="7.28515625" style="602" customWidth="1"/>
    <col min="8474" max="8474" width="8" style="602" customWidth="1"/>
    <col min="8475" max="8475" width="8.7109375" style="602" customWidth="1"/>
    <col min="8476" max="8476" width="6.42578125" style="602" customWidth="1"/>
    <col min="8477" max="8478" width="7.7109375" style="602" customWidth="1"/>
    <col min="8479" max="8479" width="7.140625" style="602" customWidth="1"/>
    <col min="8480" max="8480" width="8.140625" style="602" customWidth="1"/>
    <col min="8481" max="8481" width="8.42578125" style="602" customWidth="1"/>
    <col min="8482" max="8482" width="7.42578125" style="602" customWidth="1"/>
    <col min="8483" max="8483" width="8" style="602" customWidth="1"/>
    <col min="8484" max="8484" width="7.7109375" style="602" customWidth="1"/>
    <col min="8485" max="8485" width="6.42578125" style="602" customWidth="1"/>
    <col min="8486" max="8487" width="8" style="602" customWidth="1"/>
    <col min="8488" max="8488" width="7.7109375" style="602" customWidth="1"/>
    <col min="8489" max="8489" width="9.42578125" style="602" bestFit="1" customWidth="1"/>
    <col min="8490" max="8490" width="9" style="602"/>
    <col min="8491" max="8492" width="9.7109375" style="602" bestFit="1" customWidth="1"/>
    <col min="8493" max="8493" width="8.5703125" style="602" bestFit="1" customWidth="1"/>
    <col min="8494" max="8715" width="9" style="602"/>
    <col min="8716" max="8716" width="3.42578125" style="602" customWidth="1"/>
    <col min="8717" max="8717" width="19.42578125" style="602" customWidth="1"/>
    <col min="8718" max="8718" width="8.28515625" style="602" customWidth="1"/>
    <col min="8719" max="8719" width="9.140625" style="602" customWidth="1"/>
    <col min="8720" max="8720" width="7.28515625" style="602" customWidth="1"/>
    <col min="8721" max="8721" width="8.42578125" style="602" customWidth="1"/>
    <col min="8722" max="8722" width="8.85546875" style="602" customWidth="1"/>
    <col min="8723" max="8723" width="7.28515625" style="602" customWidth="1"/>
    <col min="8724" max="8724" width="7.85546875" style="602" customWidth="1"/>
    <col min="8725" max="8725" width="8" style="602" customWidth="1"/>
    <col min="8726" max="8726" width="7.42578125" style="602" customWidth="1"/>
    <col min="8727" max="8727" width="8.5703125" style="602" customWidth="1"/>
    <col min="8728" max="8728" width="8.7109375" style="602" customWidth="1"/>
    <col min="8729" max="8729" width="7.28515625" style="602" customWidth="1"/>
    <col min="8730" max="8730" width="8" style="602" customWidth="1"/>
    <col min="8731" max="8731" width="8.7109375" style="602" customWidth="1"/>
    <col min="8732" max="8732" width="6.42578125" style="602" customWidth="1"/>
    <col min="8733" max="8734" width="7.7109375" style="602" customWidth="1"/>
    <col min="8735" max="8735" width="7.140625" style="602" customWidth="1"/>
    <col min="8736" max="8736" width="8.140625" style="602" customWidth="1"/>
    <col min="8737" max="8737" width="8.42578125" style="602" customWidth="1"/>
    <col min="8738" max="8738" width="7.42578125" style="602" customWidth="1"/>
    <col min="8739" max="8739" width="8" style="602" customWidth="1"/>
    <col min="8740" max="8740" width="7.7109375" style="602" customWidth="1"/>
    <col min="8741" max="8741" width="6.42578125" style="602" customWidth="1"/>
    <col min="8742" max="8743" width="8" style="602" customWidth="1"/>
    <col min="8744" max="8744" width="7.7109375" style="602" customWidth="1"/>
    <col min="8745" max="8745" width="9.42578125" style="602" bestFit="1" customWidth="1"/>
    <col min="8746" max="8746" width="9" style="602"/>
    <col min="8747" max="8748" width="9.7109375" style="602" bestFit="1" customWidth="1"/>
    <col min="8749" max="8749" width="8.5703125" style="602" bestFit="1" customWidth="1"/>
    <col min="8750" max="8971" width="9" style="602"/>
    <col min="8972" max="8972" width="3.42578125" style="602" customWidth="1"/>
    <col min="8973" max="8973" width="19.42578125" style="602" customWidth="1"/>
    <col min="8974" max="8974" width="8.28515625" style="602" customWidth="1"/>
    <col min="8975" max="8975" width="9.140625" style="602" customWidth="1"/>
    <col min="8976" max="8976" width="7.28515625" style="602" customWidth="1"/>
    <col min="8977" max="8977" width="8.42578125" style="602" customWidth="1"/>
    <col min="8978" max="8978" width="8.85546875" style="602" customWidth="1"/>
    <col min="8979" max="8979" width="7.28515625" style="602" customWidth="1"/>
    <col min="8980" max="8980" width="7.85546875" style="602" customWidth="1"/>
    <col min="8981" max="8981" width="8" style="602" customWidth="1"/>
    <col min="8982" max="8982" width="7.42578125" style="602" customWidth="1"/>
    <col min="8983" max="8983" width="8.5703125" style="602" customWidth="1"/>
    <col min="8984" max="8984" width="8.7109375" style="602" customWidth="1"/>
    <col min="8985" max="8985" width="7.28515625" style="602" customWidth="1"/>
    <col min="8986" max="8986" width="8" style="602" customWidth="1"/>
    <col min="8987" max="8987" width="8.7109375" style="602" customWidth="1"/>
    <col min="8988" max="8988" width="6.42578125" style="602" customWidth="1"/>
    <col min="8989" max="8990" width="7.7109375" style="602" customWidth="1"/>
    <col min="8991" max="8991" width="7.140625" style="602" customWidth="1"/>
    <col min="8992" max="8992" width="8.140625" style="602" customWidth="1"/>
    <col min="8993" max="8993" width="8.42578125" style="602" customWidth="1"/>
    <col min="8994" max="8994" width="7.42578125" style="602" customWidth="1"/>
    <col min="8995" max="8995" width="8" style="602" customWidth="1"/>
    <col min="8996" max="8996" width="7.7109375" style="602" customWidth="1"/>
    <col min="8997" max="8997" width="6.42578125" style="602" customWidth="1"/>
    <col min="8998" max="8999" width="8" style="602" customWidth="1"/>
    <col min="9000" max="9000" width="7.7109375" style="602" customWidth="1"/>
    <col min="9001" max="9001" width="9.42578125" style="602" bestFit="1" customWidth="1"/>
    <col min="9002" max="9002" width="9" style="602"/>
    <col min="9003" max="9004" width="9.7109375" style="602" bestFit="1" customWidth="1"/>
    <col min="9005" max="9005" width="8.5703125" style="602" bestFit="1" customWidth="1"/>
    <col min="9006" max="9227" width="9" style="602"/>
    <col min="9228" max="9228" width="3.42578125" style="602" customWidth="1"/>
    <col min="9229" max="9229" width="19.42578125" style="602" customWidth="1"/>
    <col min="9230" max="9230" width="8.28515625" style="602" customWidth="1"/>
    <col min="9231" max="9231" width="9.140625" style="602" customWidth="1"/>
    <col min="9232" max="9232" width="7.28515625" style="602" customWidth="1"/>
    <col min="9233" max="9233" width="8.42578125" style="602" customWidth="1"/>
    <col min="9234" max="9234" width="8.85546875" style="602" customWidth="1"/>
    <col min="9235" max="9235" width="7.28515625" style="602" customWidth="1"/>
    <col min="9236" max="9236" width="7.85546875" style="602" customWidth="1"/>
    <col min="9237" max="9237" width="8" style="602" customWidth="1"/>
    <col min="9238" max="9238" width="7.42578125" style="602" customWidth="1"/>
    <col min="9239" max="9239" width="8.5703125" style="602" customWidth="1"/>
    <col min="9240" max="9240" width="8.7109375" style="602" customWidth="1"/>
    <col min="9241" max="9241" width="7.28515625" style="602" customWidth="1"/>
    <col min="9242" max="9242" width="8" style="602" customWidth="1"/>
    <col min="9243" max="9243" width="8.7109375" style="602" customWidth="1"/>
    <col min="9244" max="9244" width="6.42578125" style="602" customWidth="1"/>
    <col min="9245" max="9246" width="7.7109375" style="602" customWidth="1"/>
    <col min="9247" max="9247" width="7.140625" style="602" customWidth="1"/>
    <col min="9248" max="9248" width="8.140625" style="602" customWidth="1"/>
    <col min="9249" max="9249" width="8.42578125" style="602" customWidth="1"/>
    <col min="9250" max="9250" width="7.42578125" style="602" customWidth="1"/>
    <col min="9251" max="9251" width="8" style="602" customWidth="1"/>
    <col min="9252" max="9252" width="7.7109375" style="602" customWidth="1"/>
    <col min="9253" max="9253" width="6.42578125" style="602" customWidth="1"/>
    <col min="9254" max="9255" width="8" style="602" customWidth="1"/>
    <col min="9256" max="9256" width="7.7109375" style="602" customWidth="1"/>
    <col min="9257" max="9257" width="9.42578125" style="602" bestFit="1" customWidth="1"/>
    <col min="9258" max="9258" width="9" style="602"/>
    <col min="9259" max="9260" width="9.7109375" style="602" bestFit="1" customWidth="1"/>
    <col min="9261" max="9261" width="8.5703125" style="602" bestFit="1" customWidth="1"/>
    <col min="9262" max="9483" width="9" style="602"/>
    <col min="9484" max="9484" width="3.42578125" style="602" customWidth="1"/>
    <col min="9485" max="9485" width="19.42578125" style="602" customWidth="1"/>
    <col min="9486" max="9486" width="8.28515625" style="602" customWidth="1"/>
    <col min="9487" max="9487" width="9.140625" style="602" customWidth="1"/>
    <col min="9488" max="9488" width="7.28515625" style="602" customWidth="1"/>
    <col min="9489" max="9489" width="8.42578125" style="602" customWidth="1"/>
    <col min="9490" max="9490" width="8.85546875" style="602" customWidth="1"/>
    <col min="9491" max="9491" width="7.28515625" style="602" customWidth="1"/>
    <col min="9492" max="9492" width="7.85546875" style="602" customWidth="1"/>
    <col min="9493" max="9493" width="8" style="602" customWidth="1"/>
    <col min="9494" max="9494" width="7.42578125" style="602" customWidth="1"/>
    <col min="9495" max="9495" width="8.5703125" style="602" customWidth="1"/>
    <col min="9496" max="9496" width="8.7109375" style="602" customWidth="1"/>
    <col min="9497" max="9497" width="7.28515625" style="602" customWidth="1"/>
    <col min="9498" max="9498" width="8" style="602" customWidth="1"/>
    <col min="9499" max="9499" width="8.7109375" style="602" customWidth="1"/>
    <col min="9500" max="9500" width="6.42578125" style="602" customWidth="1"/>
    <col min="9501" max="9502" width="7.7109375" style="602" customWidth="1"/>
    <col min="9503" max="9503" width="7.140625" style="602" customWidth="1"/>
    <col min="9504" max="9504" width="8.140625" style="602" customWidth="1"/>
    <col min="9505" max="9505" width="8.42578125" style="602" customWidth="1"/>
    <col min="9506" max="9506" width="7.42578125" style="602" customWidth="1"/>
    <col min="9507" max="9507" width="8" style="602" customWidth="1"/>
    <col min="9508" max="9508" width="7.7109375" style="602" customWidth="1"/>
    <col min="9509" max="9509" width="6.42578125" style="602" customWidth="1"/>
    <col min="9510" max="9511" width="8" style="602" customWidth="1"/>
    <col min="9512" max="9512" width="7.7109375" style="602" customWidth="1"/>
    <col min="9513" max="9513" width="9.42578125" style="602" bestFit="1" customWidth="1"/>
    <col min="9514" max="9514" width="9" style="602"/>
    <col min="9515" max="9516" width="9.7109375" style="602" bestFit="1" customWidth="1"/>
    <col min="9517" max="9517" width="8.5703125" style="602" bestFit="1" customWidth="1"/>
    <col min="9518" max="9739" width="9" style="602"/>
    <col min="9740" max="9740" width="3.42578125" style="602" customWidth="1"/>
    <col min="9741" max="9741" width="19.42578125" style="602" customWidth="1"/>
    <col min="9742" max="9742" width="8.28515625" style="602" customWidth="1"/>
    <col min="9743" max="9743" width="9.140625" style="602" customWidth="1"/>
    <col min="9744" max="9744" width="7.28515625" style="602" customWidth="1"/>
    <col min="9745" max="9745" width="8.42578125" style="602" customWidth="1"/>
    <col min="9746" max="9746" width="8.85546875" style="602" customWidth="1"/>
    <col min="9747" max="9747" width="7.28515625" style="602" customWidth="1"/>
    <col min="9748" max="9748" width="7.85546875" style="602" customWidth="1"/>
    <col min="9749" max="9749" width="8" style="602" customWidth="1"/>
    <col min="9750" max="9750" width="7.42578125" style="602" customWidth="1"/>
    <col min="9751" max="9751" width="8.5703125" style="602" customWidth="1"/>
    <col min="9752" max="9752" width="8.7109375" style="602" customWidth="1"/>
    <col min="9753" max="9753" width="7.28515625" style="602" customWidth="1"/>
    <col min="9754" max="9754" width="8" style="602" customWidth="1"/>
    <col min="9755" max="9755" width="8.7109375" style="602" customWidth="1"/>
    <col min="9756" max="9756" width="6.42578125" style="602" customWidth="1"/>
    <col min="9757" max="9758" width="7.7109375" style="602" customWidth="1"/>
    <col min="9759" max="9759" width="7.140625" style="602" customWidth="1"/>
    <col min="9760" max="9760" width="8.140625" style="602" customWidth="1"/>
    <col min="9761" max="9761" width="8.42578125" style="602" customWidth="1"/>
    <col min="9762" max="9762" width="7.42578125" style="602" customWidth="1"/>
    <col min="9763" max="9763" width="8" style="602" customWidth="1"/>
    <col min="9764" max="9764" width="7.7109375" style="602" customWidth="1"/>
    <col min="9765" max="9765" width="6.42578125" style="602" customWidth="1"/>
    <col min="9766" max="9767" width="8" style="602" customWidth="1"/>
    <col min="9768" max="9768" width="7.7109375" style="602" customWidth="1"/>
    <col min="9769" max="9769" width="9.42578125" style="602" bestFit="1" customWidth="1"/>
    <col min="9770" max="9770" width="9" style="602"/>
    <col min="9771" max="9772" width="9.7109375" style="602" bestFit="1" customWidth="1"/>
    <col min="9773" max="9773" width="8.5703125" style="602" bestFit="1" customWidth="1"/>
    <col min="9774" max="9995" width="9" style="602"/>
    <col min="9996" max="9996" width="3.42578125" style="602" customWidth="1"/>
    <col min="9997" max="9997" width="19.42578125" style="602" customWidth="1"/>
    <col min="9998" max="9998" width="8.28515625" style="602" customWidth="1"/>
    <col min="9999" max="9999" width="9.140625" style="602" customWidth="1"/>
    <col min="10000" max="10000" width="7.28515625" style="602" customWidth="1"/>
    <col min="10001" max="10001" width="8.42578125" style="602" customWidth="1"/>
    <col min="10002" max="10002" width="8.85546875" style="602" customWidth="1"/>
    <col min="10003" max="10003" width="7.28515625" style="602" customWidth="1"/>
    <col min="10004" max="10004" width="7.85546875" style="602" customWidth="1"/>
    <col min="10005" max="10005" width="8" style="602" customWidth="1"/>
    <col min="10006" max="10006" width="7.42578125" style="602" customWidth="1"/>
    <col min="10007" max="10007" width="8.5703125" style="602" customWidth="1"/>
    <col min="10008" max="10008" width="8.7109375" style="602" customWidth="1"/>
    <col min="10009" max="10009" width="7.28515625" style="602" customWidth="1"/>
    <col min="10010" max="10010" width="8" style="602" customWidth="1"/>
    <col min="10011" max="10011" width="8.7109375" style="602" customWidth="1"/>
    <col min="10012" max="10012" width="6.42578125" style="602" customWidth="1"/>
    <col min="10013" max="10014" width="7.7109375" style="602" customWidth="1"/>
    <col min="10015" max="10015" width="7.140625" style="602" customWidth="1"/>
    <col min="10016" max="10016" width="8.140625" style="602" customWidth="1"/>
    <col min="10017" max="10017" width="8.42578125" style="602" customWidth="1"/>
    <col min="10018" max="10018" width="7.42578125" style="602" customWidth="1"/>
    <col min="10019" max="10019" width="8" style="602" customWidth="1"/>
    <col min="10020" max="10020" width="7.7109375" style="602" customWidth="1"/>
    <col min="10021" max="10021" width="6.42578125" style="602" customWidth="1"/>
    <col min="10022" max="10023" width="8" style="602" customWidth="1"/>
    <col min="10024" max="10024" width="7.7109375" style="602" customWidth="1"/>
    <col min="10025" max="10025" width="9.42578125" style="602" bestFit="1" customWidth="1"/>
    <col min="10026" max="10026" width="9" style="602"/>
    <col min="10027" max="10028" width="9.7109375" style="602" bestFit="1" customWidth="1"/>
    <col min="10029" max="10029" width="8.5703125" style="602" bestFit="1" customWidth="1"/>
    <col min="10030" max="10251" width="9" style="602"/>
    <col min="10252" max="10252" width="3.42578125" style="602" customWidth="1"/>
    <col min="10253" max="10253" width="19.42578125" style="602" customWidth="1"/>
    <col min="10254" max="10254" width="8.28515625" style="602" customWidth="1"/>
    <col min="10255" max="10255" width="9.140625" style="602" customWidth="1"/>
    <col min="10256" max="10256" width="7.28515625" style="602" customWidth="1"/>
    <col min="10257" max="10257" width="8.42578125" style="602" customWidth="1"/>
    <col min="10258" max="10258" width="8.85546875" style="602" customWidth="1"/>
    <col min="10259" max="10259" width="7.28515625" style="602" customWidth="1"/>
    <col min="10260" max="10260" width="7.85546875" style="602" customWidth="1"/>
    <col min="10261" max="10261" width="8" style="602" customWidth="1"/>
    <col min="10262" max="10262" width="7.42578125" style="602" customWidth="1"/>
    <col min="10263" max="10263" width="8.5703125" style="602" customWidth="1"/>
    <col min="10264" max="10264" width="8.7109375" style="602" customWidth="1"/>
    <col min="10265" max="10265" width="7.28515625" style="602" customWidth="1"/>
    <col min="10266" max="10266" width="8" style="602" customWidth="1"/>
    <col min="10267" max="10267" width="8.7109375" style="602" customWidth="1"/>
    <col min="10268" max="10268" width="6.42578125" style="602" customWidth="1"/>
    <col min="10269" max="10270" width="7.7109375" style="602" customWidth="1"/>
    <col min="10271" max="10271" width="7.140625" style="602" customWidth="1"/>
    <col min="10272" max="10272" width="8.140625" style="602" customWidth="1"/>
    <col min="10273" max="10273" width="8.42578125" style="602" customWidth="1"/>
    <col min="10274" max="10274" width="7.42578125" style="602" customWidth="1"/>
    <col min="10275" max="10275" width="8" style="602" customWidth="1"/>
    <col min="10276" max="10276" width="7.7109375" style="602" customWidth="1"/>
    <col min="10277" max="10277" width="6.42578125" style="602" customWidth="1"/>
    <col min="10278" max="10279" width="8" style="602" customWidth="1"/>
    <col min="10280" max="10280" width="7.7109375" style="602" customWidth="1"/>
    <col min="10281" max="10281" width="9.42578125" style="602" bestFit="1" customWidth="1"/>
    <col min="10282" max="10282" width="9" style="602"/>
    <col min="10283" max="10284" width="9.7109375" style="602" bestFit="1" customWidth="1"/>
    <col min="10285" max="10285" width="8.5703125" style="602" bestFit="1" customWidth="1"/>
    <col min="10286" max="10507" width="9" style="602"/>
    <col min="10508" max="10508" width="3.42578125" style="602" customWidth="1"/>
    <col min="10509" max="10509" width="19.42578125" style="602" customWidth="1"/>
    <col min="10510" max="10510" width="8.28515625" style="602" customWidth="1"/>
    <col min="10511" max="10511" width="9.140625" style="602" customWidth="1"/>
    <col min="10512" max="10512" width="7.28515625" style="602" customWidth="1"/>
    <col min="10513" max="10513" width="8.42578125" style="602" customWidth="1"/>
    <col min="10514" max="10514" width="8.85546875" style="602" customWidth="1"/>
    <col min="10515" max="10515" width="7.28515625" style="602" customWidth="1"/>
    <col min="10516" max="10516" width="7.85546875" style="602" customWidth="1"/>
    <col min="10517" max="10517" width="8" style="602" customWidth="1"/>
    <col min="10518" max="10518" width="7.42578125" style="602" customWidth="1"/>
    <col min="10519" max="10519" width="8.5703125" style="602" customWidth="1"/>
    <col min="10520" max="10520" width="8.7109375" style="602" customWidth="1"/>
    <col min="10521" max="10521" width="7.28515625" style="602" customWidth="1"/>
    <col min="10522" max="10522" width="8" style="602" customWidth="1"/>
    <col min="10523" max="10523" width="8.7109375" style="602" customWidth="1"/>
    <col min="10524" max="10524" width="6.42578125" style="602" customWidth="1"/>
    <col min="10525" max="10526" width="7.7109375" style="602" customWidth="1"/>
    <col min="10527" max="10527" width="7.140625" style="602" customWidth="1"/>
    <col min="10528" max="10528" width="8.140625" style="602" customWidth="1"/>
    <col min="10529" max="10529" width="8.42578125" style="602" customWidth="1"/>
    <col min="10530" max="10530" width="7.42578125" style="602" customWidth="1"/>
    <col min="10531" max="10531" width="8" style="602" customWidth="1"/>
    <col min="10532" max="10532" width="7.7109375" style="602" customWidth="1"/>
    <col min="10533" max="10533" width="6.42578125" style="602" customWidth="1"/>
    <col min="10534" max="10535" width="8" style="602" customWidth="1"/>
    <col min="10536" max="10536" width="7.7109375" style="602" customWidth="1"/>
    <col min="10537" max="10537" width="9.42578125" style="602" bestFit="1" customWidth="1"/>
    <col min="10538" max="10538" width="9" style="602"/>
    <col min="10539" max="10540" width="9.7109375" style="602" bestFit="1" customWidth="1"/>
    <col min="10541" max="10541" width="8.5703125" style="602" bestFit="1" customWidth="1"/>
    <col min="10542" max="10763" width="9" style="602"/>
    <col min="10764" max="10764" width="3.42578125" style="602" customWidth="1"/>
    <col min="10765" max="10765" width="19.42578125" style="602" customWidth="1"/>
    <col min="10766" max="10766" width="8.28515625" style="602" customWidth="1"/>
    <col min="10767" max="10767" width="9.140625" style="602" customWidth="1"/>
    <col min="10768" max="10768" width="7.28515625" style="602" customWidth="1"/>
    <col min="10769" max="10769" width="8.42578125" style="602" customWidth="1"/>
    <col min="10770" max="10770" width="8.85546875" style="602" customWidth="1"/>
    <col min="10771" max="10771" width="7.28515625" style="602" customWidth="1"/>
    <col min="10772" max="10772" width="7.85546875" style="602" customWidth="1"/>
    <col min="10773" max="10773" width="8" style="602" customWidth="1"/>
    <col min="10774" max="10774" width="7.42578125" style="602" customWidth="1"/>
    <col min="10775" max="10775" width="8.5703125" style="602" customWidth="1"/>
    <col min="10776" max="10776" width="8.7109375" style="602" customWidth="1"/>
    <col min="10777" max="10777" width="7.28515625" style="602" customWidth="1"/>
    <col min="10778" max="10778" width="8" style="602" customWidth="1"/>
    <col min="10779" max="10779" width="8.7109375" style="602" customWidth="1"/>
    <col min="10780" max="10780" width="6.42578125" style="602" customWidth="1"/>
    <col min="10781" max="10782" width="7.7109375" style="602" customWidth="1"/>
    <col min="10783" max="10783" width="7.140625" style="602" customWidth="1"/>
    <col min="10784" max="10784" width="8.140625" style="602" customWidth="1"/>
    <col min="10785" max="10785" width="8.42578125" style="602" customWidth="1"/>
    <col min="10786" max="10786" width="7.42578125" style="602" customWidth="1"/>
    <col min="10787" max="10787" width="8" style="602" customWidth="1"/>
    <col min="10788" max="10788" width="7.7109375" style="602" customWidth="1"/>
    <col min="10789" max="10789" width="6.42578125" style="602" customWidth="1"/>
    <col min="10790" max="10791" width="8" style="602" customWidth="1"/>
    <col min="10792" max="10792" width="7.7109375" style="602" customWidth="1"/>
    <col min="10793" max="10793" width="9.42578125" style="602" bestFit="1" customWidth="1"/>
    <col min="10794" max="10794" width="9" style="602"/>
    <col min="10795" max="10796" width="9.7109375" style="602" bestFit="1" customWidth="1"/>
    <col min="10797" max="10797" width="8.5703125" style="602" bestFit="1" customWidth="1"/>
    <col min="10798" max="11019" width="9" style="602"/>
    <col min="11020" max="11020" width="3.42578125" style="602" customWidth="1"/>
    <col min="11021" max="11021" width="19.42578125" style="602" customWidth="1"/>
    <col min="11022" max="11022" width="8.28515625" style="602" customWidth="1"/>
    <col min="11023" max="11023" width="9.140625" style="602" customWidth="1"/>
    <col min="11024" max="11024" width="7.28515625" style="602" customWidth="1"/>
    <col min="11025" max="11025" width="8.42578125" style="602" customWidth="1"/>
    <col min="11026" max="11026" width="8.85546875" style="602" customWidth="1"/>
    <col min="11027" max="11027" width="7.28515625" style="602" customWidth="1"/>
    <col min="11028" max="11028" width="7.85546875" style="602" customWidth="1"/>
    <col min="11029" max="11029" width="8" style="602" customWidth="1"/>
    <col min="11030" max="11030" width="7.42578125" style="602" customWidth="1"/>
    <col min="11031" max="11031" width="8.5703125" style="602" customWidth="1"/>
    <col min="11032" max="11032" width="8.7109375" style="602" customWidth="1"/>
    <col min="11033" max="11033" width="7.28515625" style="602" customWidth="1"/>
    <col min="11034" max="11034" width="8" style="602" customWidth="1"/>
    <col min="11035" max="11035" width="8.7109375" style="602" customWidth="1"/>
    <col min="11036" max="11036" width="6.42578125" style="602" customWidth="1"/>
    <col min="11037" max="11038" width="7.7109375" style="602" customWidth="1"/>
    <col min="11039" max="11039" width="7.140625" style="602" customWidth="1"/>
    <col min="11040" max="11040" width="8.140625" style="602" customWidth="1"/>
    <col min="11041" max="11041" width="8.42578125" style="602" customWidth="1"/>
    <col min="11042" max="11042" width="7.42578125" style="602" customWidth="1"/>
    <col min="11043" max="11043" width="8" style="602" customWidth="1"/>
    <col min="11044" max="11044" width="7.7109375" style="602" customWidth="1"/>
    <col min="11045" max="11045" width="6.42578125" style="602" customWidth="1"/>
    <col min="11046" max="11047" width="8" style="602" customWidth="1"/>
    <col min="11048" max="11048" width="7.7109375" style="602" customWidth="1"/>
    <col min="11049" max="11049" width="9.42578125" style="602" bestFit="1" customWidth="1"/>
    <col min="11050" max="11050" width="9" style="602"/>
    <col min="11051" max="11052" width="9.7109375" style="602" bestFit="1" customWidth="1"/>
    <col min="11053" max="11053" width="8.5703125" style="602" bestFit="1" customWidth="1"/>
    <col min="11054" max="11275" width="9" style="602"/>
    <col min="11276" max="11276" width="3.42578125" style="602" customWidth="1"/>
    <col min="11277" max="11277" width="19.42578125" style="602" customWidth="1"/>
    <col min="11278" max="11278" width="8.28515625" style="602" customWidth="1"/>
    <col min="11279" max="11279" width="9.140625" style="602" customWidth="1"/>
    <col min="11280" max="11280" width="7.28515625" style="602" customWidth="1"/>
    <col min="11281" max="11281" width="8.42578125" style="602" customWidth="1"/>
    <col min="11282" max="11282" width="8.85546875" style="602" customWidth="1"/>
    <col min="11283" max="11283" width="7.28515625" style="602" customWidth="1"/>
    <col min="11284" max="11284" width="7.85546875" style="602" customWidth="1"/>
    <col min="11285" max="11285" width="8" style="602" customWidth="1"/>
    <col min="11286" max="11286" width="7.42578125" style="602" customWidth="1"/>
    <col min="11287" max="11287" width="8.5703125" style="602" customWidth="1"/>
    <col min="11288" max="11288" width="8.7109375" style="602" customWidth="1"/>
    <col min="11289" max="11289" width="7.28515625" style="602" customWidth="1"/>
    <col min="11290" max="11290" width="8" style="602" customWidth="1"/>
    <col min="11291" max="11291" width="8.7109375" style="602" customWidth="1"/>
    <col min="11292" max="11292" width="6.42578125" style="602" customWidth="1"/>
    <col min="11293" max="11294" width="7.7109375" style="602" customWidth="1"/>
    <col min="11295" max="11295" width="7.140625" style="602" customWidth="1"/>
    <col min="11296" max="11296" width="8.140625" style="602" customWidth="1"/>
    <col min="11297" max="11297" width="8.42578125" style="602" customWidth="1"/>
    <col min="11298" max="11298" width="7.42578125" style="602" customWidth="1"/>
    <col min="11299" max="11299" width="8" style="602" customWidth="1"/>
    <col min="11300" max="11300" width="7.7109375" style="602" customWidth="1"/>
    <col min="11301" max="11301" width="6.42578125" style="602" customWidth="1"/>
    <col min="11302" max="11303" width="8" style="602" customWidth="1"/>
    <col min="11304" max="11304" width="7.7109375" style="602" customWidth="1"/>
    <col min="11305" max="11305" width="9.42578125" style="602" bestFit="1" customWidth="1"/>
    <col min="11306" max="11306" width="9" style="602"/>
    <col min="11307" max="11308" width="9.7109375" style="602" bestFit="1" customWidth="1"/>
    <col min="11309" max="11309" width="8.5703125" style="602" bestFit="1" customWidth="1"/>
    <col min="11310" max="11531" width="9" style="602"/>
    <col min="11532" max="11532" width="3.42578125" style="602" customWidth="1"/>
    <col min="11533" max="11533" width="19.42578125" style="602" customWidth="1"/>
    <col min="11534" max="11534" width="8.28515625" style="602" customWidth="1"/>
    <col min="11535" max="11535" width="9.140625" style="602" customWidth="1"/>
    <col min="11536" max="11536" width="7.28515625" style="602" customWidth="1"/>
    <col min="11537" max="11537" width="8.42578125" style="602" customWidth="1"/>
    <col min="11538" max="11538" width="8.85546875" style="602" customWidth="1"/>
    <col min="11539" max="11539" width="7.28515625" style="602" customWidth="1"/>
    <col min="11540" max="11540" width="7.85546875" style="602" customWidth="1"/>
    <col min="11541" max="11541" width="8" style="602" customWidth="1"/>
    <col min="11542" max="11542" width="7.42578125" style="602" customWidth="1"/>
    <col min="11543" max="11543" width="8.5703125" style="602" customWidth="1"/>
    <col min="11544" max="11544" width="8.7109375" style="602" customWidth="1"/>
    <col min="11545" max="11545" width="7.28515625" style="602" customWidth="1"/>
    <col min="11546" max="11546" width="8" style="602" customWidth="1"/>
    <col min="11547" max="11547" width="8.7109375" style="602" customWidth="1"/>
    <col min="11548" max="11548" width="6.42578125" style="602" customWidth="1"/>
    <col min="11549" max="11550" width="7.7109375" style="602" customWidth="1"/>
    <col min="11551" max="11551" width="7.140625" style="602" customWidth="1"/>
    <col min="11552" max="11552" width="8.140625" style="602" customWidth="1"/>
    <col min="11553" max="11553" width="8.42578125" style="602" customWidth="1"/>
    <col min="11554" max="11554" width="7.42578125" style="602" customWidth="1"/>
    <col min="11555" max="11555" width="8" style="602" customWidth="1"/>
    <col min="11556" max="11556" width="7.7109375" style="602" customWidth="1"/>
    <col min="11557" max="11557" width="6.42578125" style="602" customWidth="1"/>
    <col min="11558" max="11559" width="8" style="602" customWidth="1"/>
    <col min="11560" max="11560" width="7.7109375" style="602" customWidth="1"/>
    <col min="11561" max="11561" width="9.42578125" style="602" bestFit="1" customWidth="1"/>
    <col min="11562" max="11562" width="9" style="602"/>
    <col min="11563" max="11564" width="9.7109375" style="602" bestFit="1" customWidth="1"/>
    <col min="11565" max="11565" width="8.5703125" style="602" bestFit="1" customWidth="1"/>
    <col min="11566" max="11787" width="9" style="602"/>
    <col min="11788" max="11788" width="3.42578125" style="602" customWidth="1"/>
    <col min="11789" max="11789" width="19.42578125" style="602" customWidth="1"/>
    <col min="11790" max="11790" width="8.28515625" style="602" customWidth="1"/>
    <col min="11791" max="11791" width="9.140625" style="602" customWidth="1"/>
    <col min="11792" max="11792" width="7.28515625" style="602" customWidth="1"/>
    <col min="11793" max="11793" width="8.42578125" style="602" customWidth="1"/>
    <col min="11794" max="11794" width="8.85546875" style="602" customWidth="1"/>
    <col min="11795" max="11795" width="7.28515625" style="602" customWidth="1"/>
    <col min="11796" max="11796" width="7.85546875" style="602" customWidth="1"/>
    <col min="11797" max="11797" width="8" style="602" customWidth="1"/>
    <col min="11798" max="11798" width="7.42578125" style="602" customWidth="1"/>
    <col min="11799" max="11799" width="8.5703125" style="602" customWidth="1"/>
    <col min="11800" max="11800" width="8.7109375" style="602" customWidth="1"/>
    <col min="11801" max="11801" width="7.28515625" style="602" customWidth="1"/>
    <col min="11802" max="11802" width="8" style="602" customWidth="1"/>
    <col min="11803" max="11803" width="8.7109375" style="602" customWidth="1"/>
    <col min="11804" max="11804" width="6.42578125" style="602" customWidth="1"/>
    <col min="11805" max="11806" width="7.7109375" style="602" customWidth="1"/>
    <col min="11807" max="11807" width="7.140625" style="602" customWidth="1"/>
    <col min="11808" max="11808" width="8.140625" style="602" customWidth="1"/>
    <col min="11809" max="11809" width="8.42578125" style="602" customWidth="1"/>
    <col min="11810" max="11810" width="7.42578125" style="602" customWidth="1"/>
    <col min="11811" max="11811" width="8" style="602" customWidth="1"/>
    <col min="11812" max="11812" width="7.7109375" style="602" customWidth="1"/>
    <col min="11813" max="11813" width="6.42578125" style="602" customWidth="1"/>
    <col min="11814" max="11815" width="8" style="602" customWidth="1"/>
    <col min="11816" max="11816" width="7.7109375" style="602" customWidth="1"/>
    <col min="11817" max="11817" width="9.42578125" style="602" bestFit="1" customWidth="1"/>
    <col min="11818" max="11818" width="9" style="602"/>
    <col min="11819" max="11820" width="9.7109375" style="602" bestFit="1" customWidth="1"/>
    <col min="11821" max="11821" width="8.5703125" style="602" bestFit="1" customWidth="1"/>
    <col min="11822" max="12043" width="9" style="602"/>
    <col min="12044" max="12044" width="3.42578125" style="602" customWidth="1"/>
    <col min="12045" max="12045" width="19.42578125" style="602" customWidth="1"/>
    <col min="12046" max="12046" width="8.28515625" style="602" customWidth="1"/>
    <col min="12047" max="12047" width="9.140625" style="602" customWidth="1"/>
    <col min="12048" max="12048" width="7.28515625" style="602" customWidth="1"/>
    <col min="12049" max="12049" width="8.42578125" style="602" customWidth="1"/>
    <col min="12050" max="12050" width="8.85546875" style="602" customWidth="1"/>
    <col min="12051" max="12051" width="7.28515625" style="602" customWidth="1"/>
    <col min="12052" max="12052" width="7.85546875" style="602" customWidth="1"/>
    <col min="12053" max="12053" width="8" style="602" customWidth="1"/>
    <col min="12054" max="12054" width="7.42578125" style="602" customWidth="1"/>
    <col min="12055" max="12055" width="8.5703125" style="602" customWidth="1"/>
    <col min="12056" max="12056" width="8.7109375" style="602" customWidth="1"/>
    <col min="12057" max="12057" width="7.28515625" style="602" customWidth="1"/>
    <col min="12058" max="12058" width="8" style="602" customWidth="1"/>
    <col min="12059" max="12059" width="8.7109375" style="602" customWidth="1"/>
    <col min="12060" max="12060" width="6.42578125" style="602" customWidth="1"/>
    <col min="12061" max="12062" width="7.7109375" style="602" customWidth="1"/>
    <col min="12063" max="12063" width="7.140625" style="602" customWidth="1"/>
    <col min="12064" max="12064" width="8.140625" style="602" customWidth="1"/>
    <col min="12065" max="12065" width="8.42578125" style="602" customWidth="1"/>
    <col min="12066" max="12066" width="7.42578125" style="602" customWidth="1"/>
    <col min="12067" max="12067" width="8" style="602" customWidth="1"/>
    <col min="12068" max="12068" width="7.7109375" style="602" customWidth="1"/>
    <col min="12069" max="12069" width="6.42578125" style="602" customWidth="1"/>
    <col min="12070" max="12071" width="8" style="602" customWidth="1"/>
    <col min="12072" max="12072" width="7.7109375" style="602" customWidth="1"/>
    <col min="12073" max="12073" width="9.42578125" style="602" bestFit="1" customWidth="1"/>
    <col min="12074" max="12074" width="9" style="602"/>
    <col min="12075" max="12076" width="9.7109375" style="602" bestFit="1" customWidth="1"/>
    <col min="12077" max="12077" width="8.5703125" style="602" bestFit="1" customWidth="1"/>
    <col min="12078" max="12299" width="9" style="602"/>
    <col min="12300" max="12300" width="3.42578125" style="602" customWidth="1"/>
    <col min="12301" max="12301" width="19.42578125" style="602" customWidth="1"/>
    <col min="12302" max="12302" width="8.28515625" style="602" customWidth="1"/>
    <col min="12303" max="12303" width="9.140625" style="602" customWidth="1"/>
    <col min="12304" max="12304" width="7.28515625" style="602" customWidth="1"/>
    <col min="12305" max="12305" width="8.42578125" style="602" customWidth="1"/>
    <col min="12306" max="12306" width="8.85546875" style="602" customWidth="1"/>
    <col min="12307" max="12307" width="7.28515625" style="602" customWidth="1"/>
    <col min="12308" max="12308" width="7.85546875" style="602" customWidth="1"/>
    <col min="12309" max="12309" width="8" style="602" customWidth="1"/>
    <col min="12310" max="12310" width="7.42578125" style="602" customWidth="1"/>
    <col min="12311" max="12311" width="8.5703125" style="602" customWidth="1"/>
    <col min="12312" max="12312" width="8.7109375" style="602" customWidth="1"/>
    <col min="12313" max="12313" width="7.28515625" style="602" customWidth="1"/>
    <col min="12314" max="12314" width="8" style="602" customWidth="1"/>
    <col min="12315" max="12315" width="8.7109375" style="602" customWidth="1"/>
    <col min="12316" max="12316" width="6.42578125" style="602" customWidth="1"/>
    <col min="12317" max="12318" width="7.7109375" style="602" customWidth="1"/>
    <col min="12319" max="12319" width="7.140625" style="602" customWidth="1"/>
    <col min="12320" max="12320" width="8.140625" style="602" customWidth="1"/>
    <col min="12321" max="12321" width="8.42578125" style="602" customWidth="1"/>
    <col min="12322" max="12322" width="7.42578125" style="602" customWidth="1"/>
    <col min="12323" max="12323" width="8" style="602" customWidth="1"/>
    <col min="12324" max="12324" width="7.7109375" style="602" customWidth="1"/>
    <col min="12325" max="12325" width="6.42578125" style="602" customWidth="1"/>
    <col min="12326" max="12327" width="8" style="602" customWidth="1"/>
    <col min="12328" max="12328" width="7.7109375" style="602" customWidth="1"/>
    <col min="12329" max="12329" width="9.42578125" style="602" bestFit="1" customWidth="1"/>
    <col min="12330" max="12330" width="9" style="602"/>
    <col min="12331" max="12332" width="9.7109375" style="602" bestFit="1" customWidth="1"/>
    <col min="12333" max="12333" width="8.5703125" style="602" bestFit="1" customWidth="1"/>
    <col min="12334" max="12555" width="9" style="602"/>
    <col min="12556" max="12556" width="3.42578125" style="602" customWidth="1"/>
    <col min="12557" max="12557" width="19.42578125" style="602" customWidth="1"/>
    <col min="12558" max="12558" width="8.28515625" style="602" customWidth="1"/>
    <col min="12559" max="12559" width="9.140625" style="602" customWidth="1"/>
    <col min="12560" max="12560" width="7.28515625" style="602" customWidth="1"/>
    <col min="12561" max="12561" width="8.42578125" style="602" customWidth="1"/>
    <col min="12562" max="12562" width="8.85546875" style="602" customWidth="1"/>
    <col min="12563" max="12563" width="7.28515625" style="602" customWidth="1"/>
    <col min="12564" max="12564" width="7.85546875" style="602" customWidth="1"/>
    <col min="12565" max="12565" width="8" style="602" customWidth="1"/>
    <col min="12566" max="12566" width="7.42578125" style="602" customWidth="1"/>
    <col min="12567" max="12567" width="8.5703125" style="602" customWidth="1"/>
    <col min="12568" max="12568" width="8.7109375" style="602" customWidth="1"/>
    <col min="12569" max="12569" width="7.28515625" style="602" customWidth="1"/>
    <col min="12570" max="12570" width="8" style="602" customWidth="1"/>
    <col min="12571" max="12571" width="8.7109375" style="602" customWidth="1"/>
    <col min="12572" max="12572" width="6.42578125" style="602" customWidth="1"/>
    <col min="12573" max="12574" width="7.7109375" style="602" customWidth="1"/>
    <col min="12575" max="12575" width="7.140625" style="602" customWidth="1"/>
    <col min="12576" max="12576" width="8.140625" style="602" customWidth="1"/>
    <col min="12577" max="12577" width="8.42578125" style="602" customWidth="1"/>
    <col min="12578" max="12578" width="7.42578125" style="602" customWidth="1"/>
    <col min="12579" max="12579" width="8" style="602" customWidth="1"/>
    <col min="12580" max="12580" width="7.7109375" style="602" customWidth="1"/>
    <col min="12581" max="12581" width="6.42578125" style="602" customWidth="1"/>
    <col min="12582" max="12583" width="8" style="602" customWidth="1"/>
    <col min="12584" max="12584" width="7.7109375" style="602" customWidth="1"/>
    <col min="12585" max="12585" width="9.42578125" style="602" bestFit="1" customWidth="1"/>
    <col min="12586" max="12586" width="9" style="602"/>
    <col min="12587" max="12588" width="9.7109375" style="602" bestFit="1" customWidth="1"/>
    <col min="12589" max="12589" width="8.5703125" style="602" bestFit="1" customWidth="1"/>
    <col min="12590" max="12811" width="9" style="602"/>
    <col min="12812" max="12812" width="3.42578125" style="602" customWidth="1"/>
    <col min="12813" max="12813" width="19.42578125" style="602" customWidth="1"/>
    <col min="12814" max="12814" width="8.28515625" style="602" customWidth="1"/>
    <col min="12815" max="12815" width="9.140625" style="602" customWidth="1"/>
    <col min="12816" max="12816" width="7.28515625" style="602" customWidth="1"/>
    <col min="12817" max="12817" width="8.42578125" style="602" customWidth="1"/>
    <col min="12818" max="12818" width="8.85546875" style="602" customWidth="1"/>
    <col min="12819" max="12819" width="7.28515625" style="602" customWidth="1"/>
    <col min="12820" max="12820" width="7.85546875" style="602" customWidth="1"/>
    <col min="12821" max="12821" width="8" style="602" customWidth="1"/>
    <col min="12822" max="12822" width="7.42578125" style="602" customWidth="1"/>
    <col min="12823" max="12823" width="8.5703125" style="602" customWidth="1"/>
    <col min="12824" max="12824" width="8.7109375" style="602" customWidth="1"/>
    <col min="12825" max="12825" width="7.28515625" style="602" customWidth="1"/>
    <col min="12826" max="12826" width="8" style="602" customWidth="1"/>
    <col min="12827" max="12827" width="8.7109375" style="602" customWidth="1"/>
    <col min="12828" max="12828" width="6.42578125" style="602" customWidth="1"/>
    <col min="12829" max="12830" width="7.7109375" style="602" customWidth="1"/>
    <col min="12831" max="12831" width="7.140625" style="602" customWidth="1"/>
    <col min="12832" max="12832" width="8.140625" style="602" customWidth="1"/>
    <col min="12833" max="12833" width="8.42578125" style="602" customWidth="1"/>
    <col min="12834" max="12834" width="7.42578125" style="602" customWidth="1"/>
    <col min="12835" max="12835" width="8" style="602" customWidth="1"/>
    <col min="12836" max="12836" width="7.7109375" style="602" customWidth="1"/>
    <col min="12837" max="12837" width="6.42578125" style="602" customWidth="1"/>
    <col min="12838" max="12839" width="8" style="602" customWidth="1"/>
    <col min="12840" max="12840" width="7.7109375" style="602" customWidth="1"/>
    <col min="12841" max="12841" width="9.42578125" style="602" bestFit="1" customWidth="1"/>
    <col min="12842" max="12842" width="9" style="602"/>
    <col min="12843" max="12844" width="9.7109375" style="602" bestFit="1" customWidth="1"/>
    <col min="12845" max="12845" width="8.5703125" style="602" bestFit="1" customWidth="1"/>
    <col min="12846" max="13067" width="9" style="602"/>
    <col min="13068" max="13068" width="3.42578125" style="602" customWidth="1"/>
    <col min="13069" max="13069" width="19.42578125" style="602" customWidth="1"/>
    <col min="13070" max="13070" width="8.28515625" style="602" customWidth="1"/>
    <col min="13071" max="13071" width="9.140625" style="602" customWidth="1"/>
    <col min="13072" max="13072" width="7.28515625" style="602" customWidth="1"/>
    <col min="13073" max="13073" width="8.42578125" style="602" customWidth="1"/>
    <col min="13074" max="13074" width="8.85546875" style="602" customWidth="1"/>
    <col min="13075" max="13075" width="7.28515625" style="602" customWidth="1"/>
    <col min="13076" max="13076" width="7.85546875" style="602" customWidth="1"/>
    <col min="13077" max="13077" width="8" style="602" customWidth="1"/>
    <col min="13078" max="13078" width="7.42578125" style="602" customWidth="1"/>
    <col min="13079" max="13079" width="8.5703125" style="602" customWidth="1"/>
    <col min="13080" max="13080" width="8.7109375" style="602" customWidth="1"/>
    <col min="13081" max="13081" width="7.28515625" style="602" customWidth="1"/>
    <col min="13082" max="13082" width="8" style="602" customWidth="1"/>
    <col min="13083" max="13083" width="8.7109375" style="602" customWidth="1"/>
    <col min="13084" max="13084" width="6.42578125" style="602" customWidth="1"/>
    <col min="13085" max="13086" width="7.7109375" style="602" customWidth="1"/>
    <col min="13087" max="13087" width="7.140625" style="602" customWidth="1"/>
    <col min="13088" max="13088" width="8.140625" style="602" customWidth="1"/>
    <col min="13089" max="13089" width="8.42578125" style="602" customWidth="1"/>
    <col min="13090" max="13090" width="7.42578125" style="602" customWidth="1"/>
    <col min="13091" max="13091" width="8" style="602" customWidth="1"/>
    <col min="13092" max="13092" width="7.7109375" style="602" customWidth="1"/>
    <col min="13093" max="13093" width="6.42578125" style="602" customWidth="1"/>
    <col min="13094" max="13095" width="8" style="602" customWidth="1"/>
    <col min="13096" max="13096" width="7.7109375" style="602" customWidth="1"/>
    <col min="13097" max="13097" width="9.42578125" style="602" bestFit="1" customWidth="1"/>
    <col min="13098" max="13098" width="9" style="602"/>
    <col min="13099" max="13100" width="9.7109375" style="602" bestFit="1" customWidth="1"/>
    <col min="13101" max="13101" width="8.5703125" style="602" bestFit="1" customWidth="1"/>
    <col min="13102" max="13323" width="9" style="602"/>
    <col min="13324" max="13324" width="3.42578125" style="602" customWidth="1"/>
    <col min="13325" max="13325" width="19.42578125" style="602" customWidth="1"/>
    <col min="13326" max="13326" width="8.28515625" style="602" customWidth="1"/>
    <col min="13327" max="13327" width="9.140625" style="602" customWidth="1"/>
    <col min="13328" max="13328" width="7.28515625" style="602" customWidth="1"/>
    <col min="13329" max="13329" width="8.42578125" style="602" customWidth="1"/>
    <col min="13330" max="13330" width="8.85546875" style="602" customWidth="1"/>
    <col min="13331" max="13331" width="7.28515625" style="602" customWidth="1"/>
    <col min="13332" max="13332" width="7.85546875" style="602" customWidth="1"/>
    <col min="13333" max="13333" width="8" style="602" customWidth="1"/>
    <col min="13334" max="13334" width="7.42578125" style="602" customWidth="1"/>
    <col min="13335" max="13335" width="8.5703125" style="602" customWidth="1"/>
    <col min="13336" max="13336" width="8.7109375" style="602" customWidth="1"/>
    <col min="13337" max="13337" width="7.28515625" style="602" customWidth="1"/>
    <col min="13338" max="13338" width="8" style="602" customWidth="1"/>
    <col min="13339" max="13339" width="8.7109375" style="602" customWidth="1"/>
    <col min="13340" max="13340" width="6.42578125" style="602" customWidth="1"/>
    <col min="13341" max="13342" width="7.7109375" style="602" customWidth="1"/>
    <col min="13343" max="13343" width="7.140625" style="602" customWidth="1"/>
    <col min="13344" max="13344" width="8.140625" style="602" customWidth="1"/>
    <col min="13345" max="13345" width="8.42578125" style="602" customWidth="1"/>
    <col min="13346" max="13346" width="7.42578125" style="602" customWidth="1"/>
    <col min="13347" max="13347" width="8" style="602" customWidth="1"/>
    <col min="13348" max="13348" width="7.7109375" style="602" customWidth="1"/>
    <col min="13349" max="13349" width="6.42578125" style="602" customWidth="1"/>
    <col min="13350" max="13351" width="8" style="602" customWidth="1"/>
    <col min="13352" max="13352" width="7.7109375" style="602" customWidth="1"/>
    <col min="13353" max="13353" width="9.42578125" style="602" bestFit="1" customWidth="1"/>
    <col min="13354" max="13354" width="9" style="602"/>
    <col min="13355" max="13356" width="9.7109375" style="602" bestFit="1" customWidth="1"/>
    <col min="13357" max="13357" width="8.5703125" style="602" bestFit="1" customWidth="1"/>
    <col min="13358" max="13579" width="9" style="602"/>
    <col min="13580" max="13580" width="3.42578125" style="602" customWidth="1"/>
    <col min="13581" max="13581" width="19.42578125" style="602" customWidth="1"/>
    <col min="13582" max="13582" width="8.28515625" style="602" customWidth="1"/>
    <col min="13583" max="13583" width="9.140625" style="602" customWidth="1"/>
    <col min="13584" max="13584" width="7.28515625" style="602" customWidth="1"/>
    <col min="13585" max="13585" width="8.42578125" style="602" customWidth="1"/>
    <col min="13586" max="13586" width="8.85546875" style="602" customWidth="1"/>
    <col min="13587" max="13587" width="7.28515625" style="602" customWidth="1"/>
    <col min="13588" max="13588" width="7.85546875" style="602" customWidth="1"/>
    <col min="13589" max="13589" width="8" style="602" customWidth="1"/>
    <col min="13590" max="13590" width="7.42578125" style="602" customWidth="1"/>
    <col min="13591" max="13591" width="8.5703125" style="602" customWidth="1"/>
    <col min="13592" max="13592" width="8.7109375" style="602" customWidth="1"/>
    <col min="13593" max="13593" width="7.28515625" style="602" customWidth="1"/>
    <col min="13594" max="13594" width="8" style="602" customWidth="1"/>
    <col min="13595" max="13595" width="8.7109375" style="602" customWidth="1"/>
    <col min="13596" max="13596" width="6.42578125" style="602" customWidth="1"/>
    <col min="13597" max="13598" width="7.7109375" style="602" customWidth="1"/>
    <col min="13599" max="13599" width="7.140625" style="602" customWidth="1"/>
    <col min="13600" max="13600" width="8.140625" style="602" customWidth="1"/>
    <col min="13601" max="13601" width="8.42578125" style="602" customWidth="1"/>
    <col min="13602" max="13602" width="7.42578125" style="602" customWidth="1"/>
    <col min="13603" max="13603" width="8" style="602" customWidth="1"/>
    <col min="13604" max="13604" width="7.7109375" style="602" customWidth="1"/>
    <col min="13605" max="13605" width="6.42578125" style="602" customWidth="1"/>
    <col min="13606" max="13607" width="8" style="602" customWidth="1"/>
    <col min="13608" max="13608" width="7.7109375" style="602" customWidth="1"/>
    <col min="13609" max="13609" width="9.42578125" style="602" bestFit="1" customWidth="1"/>
    <col min="13610" max="13610" width="9" style="602"/>
    <col min="13611" max="13612" width="9.7109375" style="602" bestFit="1" customWidth="1"/>
    <col min="13613" max="13613" width="8.5703125" style="602" bestFit="1" customWidth="1"/>
    <col min="13614" max="13835" width="9" style="602"/>
    <col min="13836" max="13836" width="3.42578125" style="602" customWidth="1"/>
    <col min="13837" max="13837" width="19.42578125" style="602" customWidth="1"/>
    <col min="13838" max="13838" width="8.28515625" style="602" customWidth="1"/>
    <col min="13839" max="13839" width="9.140625" style="602" customWidth="1"/>
    <col min="13840" max="13840" width="7.28515625" style="602" customWidth="1"/>
    <col min="13841" max="13841" width="8.42578125" style="602" customWidth="1"/>
    <col min="13842" max="13842" width="8.85546875" style="602" customWidth="1"/>
    <col min="13843" max="13843" width="7.28515625" style="602" customWidth="1"/>
    <col min="13844" max="13844" width="7.85546875" style="602" customWidth="1"/>
    <col min="13845" max="13845" width="8" style="602" customWidth="1"/>
    <col min="13846" max="13846" width="7.42578125" style="602" customWidth="1"/>
    <col min="13847" max="13847" width="8.5703125" style="602" customWidth="1"/>
    <col min="13848" max="13848" width="8.7109375" style="602" customWidth="1"/>
    <col min="13849" max="13849" width="7.28515625" style="602" customWidth="1"/>
    <col min="13850" max="13850" width="8" style="602" customWidth="1"/>
    <col min="13851" max="13851" width="8.7109375" style="602" customWidth="1"/>
    <col min="13852" max="13852" width="6.42578125" style="602" customWidth="1"/>
    <col min="13853" max="13854" width="7.7109375" style="602" customWidth="1"/>
    <col min="13855" max="13855" width="7.140625" style="602" customWidth="1"/>
    <col min="13856" max="13856" width="8.140625" style="602" customWidth="1"/>
    <col min="13857" max="13857" width="8.42578125" style="602" customWidth="1"/>
    <col min="13858" max="13858" width="7.42578125" style="602" customWidth="1"/>
    <col min="13859" max="13859" width="8" style="602" customWidth="1"/>
    <col min="13860" max="13860" width="7.7109375" style="602" customWidth="1"/>
    <col min="13861" max="13861" width="6.42578125" style="602" customWidth="1"/>
    <col min="13862" max="13863" width="8" style="602" customWidth="1"/>
    <col min="13864" max="13864" width="7.7109375" style="602" customWidth="1"/>
    <col min="13865" max="13865" width="9.42578125" style="602" bestFit="1" customWidth="1"/>
    <col min="13866" max="13866" width="9" style="602"/>
    <col min="13867" max="13868" width="9.7109375" style="602" bestFit="1" customWidth="1"/>
    <col min="13869" max="13869" width="8.5703125" style="602" bestFit="1" customWidth="1"/>
    <col min="13870" max="14091" width="9" style="602"/>
    <col min="14092" max="14092" width="3.42578125" style="602" customWidth="1"/>
    <col min="14093" max="14093" width="19.42578125" style="602" customWidth="1"/>
    <col min="14094" max="14094" width="8.28515625" style="602" customWidth="1"/>
    <col min="14095" max="14095" width="9.140625" style="602" customWidth="1"/>
    <col min="14096" max="14096" width="7.28515625" style="602" customWidth="1"/>
    <col min="14097" max="14097" width="8.42578125" style="602" customWidth="1"/>
    <col min="14098" max="14098" width="8.85546875" style="602" customWidth="1"/>
    <col min="14099" max="14099" width="7.28515625" style="602" customWidth="1"/>
    <col min="14100" max="14100" width="7.85546875" style="602" customWidth="1"/>
    <col min="14101" max="14101" width="8" style="602" customWidth="1"/>
    <col min="14102" max="14102" width="7.42578125" style="602" customWidth="1"/>
    <col min="14103" max="14103" width="8.5703125" style="602" customWidth="1"/>
    <col min="14104" max="14104" width="8.7109375" style="602" customWidth="1"/>
    <col min="14105" max="14105" width="7.28515625" style="602" customWidth="1"/>
    <col min="14106" max="14106" width="8" style="602" customWidth="1"/>
    <col min="14107" max="14107" width="8.7109375" style="602" customWidth="1"/>
    <col min="14108" max="14108" width="6.42578125" style="602" customWidth="1"/>
    <col min="14109" max="14110" width="7.7109375" style="602" customWidth="1"/>
    <col min="14111" max="14111" width="7.140625" style="602" customWidth="1"/>
    <col min="14112" max="14112" width="8.140625" style="602" customWidth="1"/>
    <col min="14113" max="14113" width="8.42578125" style="602" customWidth="1"/>
    <col min="14114" max="14114" width="7.42578125" style="602" customWidth="1"/>
    <col min="14115" max="14115" width="8" style="602" customWidth="1"/>
    <col min="14116" max="14116" width="7.7109375" style="602" customWidth="1"/>
    <col min="14117" max="14117" width="6.42578125" style="602" customWidth="1"/>
    <col min="14118" max="14119" width="8" style="602" customWidth="1"/>
    <col min="14120" max="14120" width="7.7109375" style="602" customWidth="1"/>
    <col min="14121" max="14121" width="9.42578125" style="602" bestFit="1" customWidth="1"/>
    <col min="14122" max="14122" width="9" style="602"/>
    <col min="14123" max="14124" width="9.7109375" style="602" bestFit="1" customWidth="1"/>
    <col min="14125" max="14125" width="8.5703125" style="602" bestFit="1" customWidth="1"/>
    <col min="14126" max="14347" width="9" style="602"/>
    <col min="14348" max="14348" width="3.42578125" style="602" customWidth="1"/>
    <col min="14349" max="14349" width="19.42578125" style="602" customWidth="1"/>
    <col min="14350" max="14350" width="8.28515625" style="602" customWidth="1"/>
    <col min="14351" max="14351" width="9.140625" style="602" customWidth="1"/>
    <col min="14352" max="14352" width="7.28515625" style="602" customWidth="1"/>
    <col min="14353" max="14353" width="8.42578125" style="602" customWidth="1"/>
    <col min="14354" max="14354" width="8.85546875" style="602" customWidth="1"/>
    <col min="14355" max="14355" width="7.28515625" style="602" customWidth="1"/>
    <col min="14356" max="14356" width="7.85546875" style="602" customWidth="1"/>
    <col min="14357" max="14357" width="8" style="602" customWidth="1"/>
    <col min="14358" max="14358" width="7.42578125" style="602" customWidth="1"/>
    <col min="14359" max="14359" width="8.5703125" style="602" customWidth="1"/>
    <col min="14360" max="14360" width="8.7109375" style="602" customWidth="1"/>
    <col min="14361" max="14361" width="7.28515625" style="602" customWidth="1"/>
    <col min="14362" max="14362" width="8" style="602" customWidth="1"/>
    <col min="14363" max="14363" width="8.7109375" style="602" customWidth="1"/>
    <col min="14364" max="14364" width="6.42578125" style="602" customWidth="1"/>
    <col min="14365" max="14366" width="7.7109375" style="602" customWidth="1"/>
    <col min="14367" max="14367" width="7.140625" style="602" customWidth="1"/>
    <col min="14368" max="14368" width="8.140625" style="602" customWidth="1"/>
    <col min="14369" max="14369" width="8.42578125" style="602" customWidth="1"/>
    <col min="14370" max="14370" width="7.42578125" style="602" customWidth="1"/>
    <col min="14371" max="14371" width="8" style="602" customWidth="1"/>
    <col min="14372" max="14372" width="7.7109375" style="602" customWidth="1"/>
    <col min="14373" max="14373" width="6.42578125" style="602" customWidth="1"/>
    <col min="14374" max="14375" width="8" style="602" customWidth="1"/>
    <col min="14376" max="14376" width="7.7109375" style="602" customWidth="1"/>
    <col min="14377" max="14377" width="9.42578125" style="602" bestFit="1" customWidth="1"/>
    <col min="14378" max="14378" width="9" style="602"/>
    <col min="14379" max="14380" width="9.7109375" style="602" bestFit="1" customWidth="1"/>
    <col min="14381" max="14381" width="8.5703125" style="602" bestFit="1" customWidth="1"/>
    <col min="14382" max="14603" width="9" style="602"/>
    <col min="14604" max="14604" width="3.42578125" style="602" customWidth="1"/>
    <col min="14605" max="14605" width="19.42578125" style="602" customWidth="1"/>
    <col min="14606" max="14606" width="8.28515625" style="602" customWidth="1"/>
    <col min="14607" max="14607" width="9.140625" style="602" customWidth="1"/>
    <col min="14608" max="14608" width="7.28515625" style="602" customWidth="1"/>
    <col min="14609" max="14609" width="8.42578125" style="602" customWidth="1"/>
    <col min="14610" max="14610" width="8.85546875" style="602" customWidth="1"/>
    <col min="14611" max="14611" width="7.28515625" style="602" customWidth="1"/>
    <col min="14612" max="14612" width="7.85546875" style="602" customWidth="1"/>
    <col min="14613" max="14613" width="8" style="602" customWidth="1"/>
    <col min="14614" max="14614" width="7.42578125" style="602" customWidth="1"/>
    <col min="14615" max="14615" width="8.5703125" style="602" customWidth="1"/>
    <col min="14616" max="14616" width="8.7109375" style="602" customWidth="1"/>
    <col min="14617" max="14617" width="7.28515625" style="602" customWidth="1"/>
    <col min="14618" max="14618" width="8" style="602" customWidth="1"/>
    <col min="14619" max="14619" width="8.7109375" style="602" customWidth="1"/>
    <col min="14620" max="14620" width="6.42578125" style="602" customWidth="1"/>
    <col min="14621" max="14622" width="7.7109375" style="602" customWidth="1"/>
    <col min="14623" max="14623" width="7.140625" style="602" customWidth="1"/>
    <col min="14624" max="14624" width="8.140625" style="602" customWidth="1"/>
    <col min="14625" max="14625" width="8.42578125" style="602" customWidth="1"/>
    <col min="14626" max="14626" width="7.42578125" style="602" customWidth="1"/>
    <col min="14627" max="14627" width="8" style="602" customWidth="1"/>
    <col min="14628" max="14628" width="7.7109375" style="602" customWidth="1"/>
    <col min="14629" max="14629" width="6.42578125" style="602" customWidth="1"/>
    <col min="14630" max="14631" width="8" style="602" customWidth="1"/>
    <col min="14632" max="14632" width="7.7109375" style="602" customWidth="1"/>
    <col min="14633" max="14633" width="9.42578125" style="602" bestFit="1" customWidth="1"/>
    <col min="14634" max="14634" width="9" style="602"/>
    <col min="14635" max="14636" width="9.7109375" style="602" bestFit="1" customWidth="1"/>
    <col min="14637" max="14637" width="8.5703125" style="602" bestFit="1" customWidth="1"/>
    <col min="14638" max="14859" width="9" style="602"/>
    <col min="14860" max="14860" width="3.42578125" style="602" customWidth="1"/>
    <col min="14861" max="14861" width="19.42578125" style="602" customWidth="1"/>
    <col min="14862" max="14862" width="8.28515625" style="602" customWidth="1"/>
    <col min="14863" max="14863" width="9.140625" style="602" customWidth="1"/>
    <col min="14864" max="14864" width="7.28515625" style="602" customWidth="1"/>
    <col min="14865" max="14865" width="8.42578125" style="602" customWidth="1"/>
    <col min="14866" max="14866" width="8.85546875" style="602" customWidth="1"/>
    <col min="14867" max="14867" width="7.28515625" style="602" customWidth="1"/>
    <col min="14868" max="14868" width="7.85546875" style="602" customWidth="1"/>
    <col min="14869" max="14869" width="8" style="602" customWidth="1"/>
    <col min="14870" max="14870" width="7.42578125" style="602" customWidth="1"/>
    <col min="14871" max="14871" width="8.5703125" style="602" customWidth="1"/>
    <col min="14872" max="14872" width="8.7109375" style="602" customWidth="1"/>
    <col min="14873" max="14873" width="7.28515625" style="602" customWidth="1"/>
    <col min="14874" max="14874" width="8" style="602" customWidth="1"/>
    <col min="14875" max="14875" width="8.7109375" style="602" customWidth="1"/>
    <col min="14876" max="14876" width="6.42578125" style="602" customWidth="1"/>
    <col min="14877" max="14878" width="7.7109375" style="602" customWidth="1"/>
    <col min="14879" max="14879" width="7.140625" style="602" customWidth="1"/>
    <col min="14880" max="14880" width="8.140625" style="602" customWidth="1"/>
    <col min="14881" max="14881" width="8.42578125" style="602" customWidth="1"/>
    <col min="14882" max="14882" width="7.42578125" style="602" customWidth="1"/>
    <col min="14883" max="14883" width="8" style="602" customWidth="1"/>
    <col min="14884" max="14884" width="7.7109375" style="602" customWidth="1"/>
    <col min="14885" max="14885" width="6.42578125" style="602" customWidth="1"/>
    <col min="14886" max="14887" width="8" style="602" customWidth="1"/>
    <col min="14888" max="14888" width="7.7109375" style="602" customWidth="1"/>
    <col min="14889" max="14889" width="9.42578125" style="602" bestFit="1" customWidth="1"/>
    <col min="14890" max="14890" width="9" style="602"/>
    <col min="14891" max="14892" width="9.7109375" style="602" bestFit="1" customWidth="1"/>
    <col min="14893" max="14893" width="8.5703125" style="602" bestFit="1" customWidth="1"/>
    <col min="14894" max="15115" width="9" style="602"/>
    <col min="15116" max="15116" width="3.42578125" style="602" customWidth="1"/>
    <col min="15117" max="15117" width="19.42578125" style="602" customWidth="1"/>
    <col min="15118" max="15118" width="8.28515625" style="602" customWidth="1"/>
    <col min="15119" max="15119" width="9.140625" style="602" customWidth="1"/>
    <col min="15120" max="15120" width="7.28515625" style="602" customWidth="1"/>
    <col min="15121" max="15121" width="8.42578125" style="602" customWidth="1"/>
    <col min="15122" max="15122" width="8.85546875" style="602" customWidth="1"/>
    <col min="15123" max="15123" width="7.28515625" style="602" customWidth="1"/>
    <col min="15124" max="15124" width="7.85546875" style="602" customWidth="1"/>
    <col min="15125" max="15125" width="8" style="602" customWidth="1"/>
    <col min="15126" max="15126" width="7.42578125" style="602" customWidth="1"/>
    <col min="15127" max="15127" width="8.5703125" style="602" customWidth="1"/>
    <col min="15128" max="15128" width="8.7109375" style="602" customWidth="1"/>
    <col min="15129" max="15129" width="7.28515625" style="602" customWidth="1"/>
    <col min="15130" max="15130" width="8" style="602" customWidth="1"/>
    <col min="15131" max="15131" width="8.7109375" style="602" customWidth="1"/>
    <col min="15132" max="15132" width="6.42578125" style="602" customWidth="1"/>
    <col min="15133" max="15134" width="7.7109375" style="602" customWidth="1"/>
    <col min="15135" max="15135" width="7.140625" style="602" customWidth="1"/>
    <col min="15136" max="15136" width="8.140625" style="602" customWidth="1"/>
    <col min="15137" max="15137" width="8.42578125" style="602" customWidth="1"/>
    <col min="15138" max="15138" width="7.42578125" style="602" customWidth="1"/>
    <col min="15139" max="15139" width="8" style="602" customWidth="1"/>
    <col min="15140" max="15140" width="7.7109375" style="602" customWidth="1"/>
    <col min="15141" max="15141" width="6.42578125" style="602" customWidth="1"/>
    <col min="15142" max="15143" width="8" style="602" customWidth="1"/>
    <col min="15144" max="15144" width="7.7109375" style="602" customWidth="1"/>
    <col min="15145" max="15145" width="9.42578125" style="602" bestFit="1" customWidth="1"/>
    <col min="15146" max="15146" width="9" style="602"/>
    <col min="15147" max="15148" width="9.7109375" style="602" bestFit="1" customWidth="1"/>
    <col min="15149" max="15149" width="8.5703125" style="602" bestFit="1" customWidth="1"/>
    <col min="15150" max="15371" width="9" style="602"/>
    <col min="15372" max="15372" width="3.42578125" style="602" customWidth="1"/>
    <col min="15373" max="15373" width="19.42578125" style="602" customWidth="1"/>
    <col min="15374" max="15374" width="8.28515625" style="602" customWidth="1"/>
    <col min="15375" max="15375" width="9.140625" style="602" customWidth="1"/>
    <col min="15376" max="15376" width="7.28515625" style="602" customWidth="1"/>
    <col min="15377" max="15377" width="8.42578125" style="602" customWidth="1"/>
    <col min="15378" max="15378" width="8.85546875" style="602" customWidth="1"/>
    <col min="15379" max="15379" width="7.28515625" style="602" customWidth="1"/>
    <col min="15380" max="15380" width="7.85546875" style="602" customWidth="1"/>
    <col min="15381" max="15381" width="8" style="602" customWidth="1"/>
    <col min="15382" max="15382" width="7.42578125" style="602" customWidth="1"/>
    <col min="15383" max="15383" width="8.5703125" style="602" customWidth="1"/>
    <col min="15384" max="15384" width="8.7109375" style="602" customWidth="1"/>
    <col min="15385" max="15385" width="7.28515625" style="602" customWidth="1"/>
    <col min="15386" max="15386" width="8" style="602" customWidth="1"/>
    <col min="15387" max="15387" width="8.7109375" style="602" customWidth="1"/>
    <col min="15388" max="15388" width="6.42578125" style="602" customWidth="1"/>
    <col min="15389" max="15390" width="7.7109375" style="602" customWidth="1"/>
    <col min="15391" max="15391" width="7.140625" style="602" customWidth="1"/>
    <col min="15392" max="15392" width="8.140625" style="602" customWidth="1"/>
    <col min="15393" max="15393" width="8.42578125" style="602" customWidth="1"/>
    <col min="15394" max="15394" width="7.42578125" style="602" customWidth="1"/>
    <col min="15395" max="15395" width="8" style="602" customWidth="1"/>
    <col min="15396" max="15396" width="7.7109375" style="602" customWidth="1"/>
    <col min="15397" max="15397" width="6.42578125" style="602" customWidth="1"/>
    <col min="15398" max="15399" width="8" style="602" customWidth="1"/>
    <col min="15400" max="15400" width="7.7109375" style="602" customWidth="1"/>
    <col min="15401" max="15401" width="9.42578125" style="602" bestFit="1" customWidth="1"/>
    <col min="15402" max="15402" width="9" style="602"/>
    <col min="15403" max="15404" width="9.7109375" style="602" bestFit="1" customWidth="1"/>
    <col min="15405" max="15405" width="8.5703125" style="602" bestFit="1" customWidth="1"/>
    <col min="15406" max="15627" width="9" style="602"/>
    <col min="15628" max="15628" width="3.42578125" style="602" customWidth="1"/>
    <col min="15629" max="15629" width="19.42578125" style="602" customWidth="1"/>
    <col min="15630" max="15630" width="8.28515625" style="602" customWidth="1"/>
    <col min="15631" max="15631" width="9.140625" style="602" customWidth="1"/>
    <col min="15632" max="15632" width="7.28515625" style="602" customWidth="1"/>
    <col min="15633" max="15633" width="8.42578125" style="602" customWidth="1"/>
    <col min="15634" max="15634" width="8.85546875" style="602" customWidth="1"/>
    <col min="15635" max="15635" width="7.28515625" style="602" customWidth="1"/>
    <col min="15636" max="15636" width="7.85546875" style="602" customWidth="1"/>
    <col min="15637" max="15637" width="8" style="602" customWidth="1"/>
    <col min="15638" max="15638" width="7.42578125" style="602" customWidth="1"/>
    <col min="15639" max="15639" width="8.5703125" style="602" customWidth="1"/>
    <col min="15640" max="15640" width="8.7109375" style="602" customWidth="1"/>
    <col min="15641" max="15641" width="7.28515625" style="602" customWidth="1"/>
    <col min="15642" max="15642" width="8" style="602" customWidth="1"/>
    <col min="15643" max="15643" width="8.7109375" style="602" customWidth="1"/>
    <col min="15644" max="15644" width="6.42578125" style="602" customWidth="1"/>
    <col min="15645" max="15646" width="7.7109375" style="602" customWidth="1"/>
    <col min="15647" max="15647" width="7.140625" style="602" customWidth="1"/>
    <col min="15648" max="15648" width="8.140625" style="602" customWidth="1"/>
    <col min="15649" max="15649" width="8.42578125" style="602" customWidth="1"/>
    <col min="15650" max="15650" width="7.42578125" style="602" customWidth="1"/>
    <col min="15651" max="15651" width="8" style="602" customWidth="1"/>
    <col min="15652" max="15652" width="7.7109375" style="602" customWidth="1"/>
    <col min="15653" max="15653" width="6.42578125" style="602" customWidth="1"/>
    <col min="15654" max="15655" width="8" style="602" customWidth="1"/>
    <col min="15656" max="15656" width="7.7109375" style="602" customWidth="1"/>
    <col min="15657" max="15657" width="9.42578125" style="602" bestFit="1" customWidth="1"/>
    <col min="15658" max="15658" width="9" style="602"/>
    <col min="15659" max="15660" width="9.7109375" style="602" bestFit="1" customWidth="1"/>
    <col min="15661" max="15661" width="8.5703125" style="602" bestFit="1" customWidth="1"/>
    <col min="15662" max="15883" width="9" style="602"/>
    <col min="15884" max="15884" width="3.42578125" style="602" customWidth="1"/>
    <col min="15885" max="15885" width="19.42578125" style="602" customWidth="1"/>
    <col min="15886" max="15886" width="8.28515625" style="602" customWidth="1"/>
    <col min="15887" max="15887" width="9.140625" style="602" customWidth="1"/>
    <col min="15888" max="15888" width="7.28515625" style="602" customWidth="1"/>
    <col min="15889" max="15889" width="8.42578125" style="602" customWidth="1"/>
    <col min="15890" max="15890" width="8.85546875" style="602" customWidth="1"/>
    <col min="15891" max="15891" width="7.28515625" style="602" customWidth="1"/>
    <col min="15892" max="15892" width="7.85546875" style="602" customWidth="1"/>
    <col min="15893" max="15893" width="8" style="602" customWidth="1"/>
    <col min="15894" max="15894" width="7.42578125" style="602" customWidth="1"/>
    <col min="15895" max="15895" width="8.5703125" style="602" customWidth="1"/>
    <col min="15896" max="15896" width="8.7109375" style="602" customWidth="1"/>
    <col min="15897" max="15897" width="7.28515625" style="602" customWidth="1"/>
    <col min="15898" max="15898" width="8" style="602" customWidth="1"/>
    <col min="15899" max="15899" width="8.7109375" style="602" customWidth="1"/>
    <col min="15900" max="15900" width="6.42578125" style="602" customWidth="1"/>
    <col min="15901" max="15902" width="7.7109375" style="602" customWidth="1"/>
    <col min="15903" max="15903" width="7.140625" style="602" customWidth="1"/>
    <col min="15904" max="15904" width="8.140625" style="602" customWidth="1"/>
    <col min="15905" max="15905" width="8.42578125" style="602" customWidth="1"/>
    <col min="15906" max="15906" width="7.42578125" style="602" customWidth="1"/>
    <col min="15907" max="15907" width="8" style="602" customWidth="1"/>
    <col min="15908" max="15908" width="7.7109375" style="602" customWidth="1"/>
    <col min="15909" max="15909" width="6.42578125" style="602" customWidth="1"/>
    <col min="15910" max="15911" width="8" style="602" customWidth="1"/>
    <col min="15912" max="15912" width="7.7109375" style="602" customWidth="1"/>
    <col min="15913" max="15913" width="9.42578125" style="602" bestFit="1" customWidth="1"/>
    <col min="15914" max="15914" width="9" style="602"/>
    <col min="15915" max="15916" width="9.7109375" style="602" bestFit="1" customWidth="1"/>
    <col min="15917" max="15917" width="8.5703125" style="602" bestFit="1" customWidth="1"/>
    <col min="15918" max="16139" width="9" style="602"/>
    <col min="16140" max="16140" width="3.42578125" style="602" customWidth="1"/>
    <col min="16141" max="16141" width="19.42578125" style="602" customWidth="1"/>
    <col min="16142" max="16142" width="8.28515625" style="602" customWidth="1"/>
    <col min="16143" max="16143" width="9.140625" style="602" customWidth="1"/>
    <col min="16144" max="16144" width="7.28515625" style="602" customWidth="1"/>
    <col min="16145" max="16145" width="8.42578125" style="602" customWidth="1"/>
    <col min="16146" max="16146" width="8.85546875" style="602" customWidth="1"/>
    <col min="16147" max="16147" width="7.28515625" style="602" customWidth="1"/>
    <col min="16148" max="16148" width="7.85546875" style="602" customWidth="1"/>
    <col min="16149" max="16149" width="8" style="602" customWidth="1"/>
    <col min="16150" max="16150" width="7.42578125" style="602" customWidth="1"/>
    <col min="16151" max="16151" width="8.5703125" style="602" customWidth="1"/>
    <col min="16152" max="16152" width="8.7109375" style="602" customWidth="1"/>
    <col min="16153" max="16153" width="7.28515625" style="602" customWidth="1"/>
    <col min="16154" max="16154" width="8" style="602" customWidth="1"/>
    <col min="16155" max="16155" width="8.7109375" style="602" customWidth="1"/>
    <col min="16156" max="16156" width="6.42578125" style="602" customWidth="1"/>
    <col min="16157" max="16158" width="7.7109375" style="602" customWidth="1"/>
    <col min="16159" max="16159" width="7.140625" style="602" customWidth="1"/>
    <col min="16160" max="16160" width="8.140625" style="602" customWidth="1"/>
    <col min="16161" max="16161" width="8.42578125" style="602" customWidth="1"/>
    <col min="16162" max="16162" width="7.42578125" style="602" customWidth="1"/>
    <col min="16163" max="16163" width="8" style="602" customWidth="1"/>
    <col min="16164" max="16164" width="7.7109375" style="602" customWidth="1"/>
    <col min="16165" max="16165" width="6.42578125" style="602" customWidth="1"/>
    <col min="16166" max="16167" width="8" style="602" customWidth="1"/>
    <col min="16168" max="16168" width="7.7109375" style="602" customWidth="1"/>
    <col min="16169" max="16169" width="9.42578125" style="602" bestFit="1" customWidth="1"/>
    <col min="16170" max="16170" width="9" style="602"/>
    <col min="16171" max="16172" width="9.7109375" style="602" bestFit="1" customWidth="1"/>
    <col min="16173" max="16173" width="8.5703125" style="602" bestFit="1" customWidth="1"/>
    <col min="16174" max="16384" width="9" style="602"/>
  </cols>
  <sheetData>
    <row r="1" spans="1:54" s="579" customFormat="1" ht="25.5" customHeight="1" x14ac:dyDescent="0.25">
      <c r="A1" s="823" t="s">
        <v>151</v>
      </c>
      <c r="B1" s="823"/>
      <c r="C1" s="823"/>
      <c r="D1" s="823"/>
      <c r="E1" s="823"/>
      <c r="F1" s="823"/>
      <c r="G1" s="823"/>
      <c r="H1" s="823"/>
      <c r="I1" s="823"/>
      <c r="J1" s="823"/>
      <c r="K1" s="823"/>
      <c r="L1" s="823"/>
      <c r="M1" s="823"/>
      <c r="N1" s="823"/>
      <c r="O1" s="823"/>
      <c r="P1" s="823"/>
      <c r="Q1" s="823"/>
      <c r="R1" s="823"/>
      <c r="S1" s="823"/>
      <c r="T1" s="823"/>
      <c r="U1" s="823"/>
      <c r="V1" s="823"/>
      <c r="W1" s="823"/>
      <c r="X1" s="823"/>
      <c r="Y1" s="823"/>
      <c r="Z1" s="823"/>
      <c r="AA1" s="823"/>
      <c r="AB1" s="823"/>
      <c r="AC1" s="823"/>
      <c r="AD1" s="823"/>
      <c r="AE1" s="823"/>
      <c r="AF1" s="823"/>
      <c r="AG1" s="823"/>
      <c r="AH1" s="823"/>
      <c r="AI1" s="823"/>
      <c r="AJ1" s="823"/>
      <c r="AK1" s="823"/>
      <c r="AL1" s="823"/>
      <c r="AM1" s="823"/>
      <c r="AN1" s="823"/>
      <c r="AO1" s="823"/>
    </row>
    <row r="2" spans="1:54" s="579" customFormat="1" ht="25.5" customHeight="1" x14ac:dyDescent="0.25">
      <c r="A2" s="824" t="s">
        <v>318</v>
      </c>
      <c r="B2" s="824"/>
      <c r="C2" s="824"/>
      <c r="D2" s="824"/>
      <c r="E2" s="824"/>
      <c r="F2" s="824"/>
      <c r="G2" s="824"/>
      <c r="H2" s="824"/>
      <c r="I2" s="824"/>
      <c r="J2" s="824"/>
      <c r="K2" s="824"/>
      <c r="L2" s="824"/>
      <c r="M2" s="824"/>
      <c r="N2" s="824"/>
      <c r="O2" s="824"/>
      <c r="P2" s="824"/>
      <c r="Q2" s="824"/>
      <c r="R2" s="824"/>
      <c r="S2" s="824"/>
      <c r="T2" s="824"/>
      <c r="U2" s="824"/>
      <c r="V2" s="824"/>
      <c r="W2" s="824"/>
      <c r="X2" s="824"/>
      <c r="Y2" s="824"/>
      <c r="Z2" s="824"/>
      <c r="AA2" s="824"/>
      <c r="AB2" s="824"/>
      <c r="AC2" s="824"/>
      <c r="AD2" s="824"/>
      <c r="AE2" s="824"/>
      <c r="AF2" s="824"/>
      <c r="AG2" s="824"/>
      <c r="AH2" s="824"/>
      <c r="AI2" s="824"/>
      <c r="AJ2" s="824"/>
      <c r="AK2" s="824"/>
      <c r="AL2" s="824"/>
      <c r="AM2" s="824"/>
      <c r="AN2" s="824"/>
      <c r="AO2" s="615"/>
    </row>
    <row r="3" spans="1:54" s="579" customFormat="1" ht="25.5" customHeight="1" x14ac:dyDescent="0.25">
      <c r="A3" s="806" t="str">
        <f>'BC VSN 2025'!A3:AC3</f>
        <v>(Kèm theo Báo cáo số:   449  /BC-UBND ngày   30 /11/2025 của UBND xã Cao Minh)</v>
      </c>
      <c r="B3" s="806"/>
      <c r="C3" s="806"/>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C3" s="806"/>
      <c r="AD3" s="806"/>
      <c r="AE3" s="806"/>
      <c r="AF3" s="806"/>
      <c r="AG3" s="806"/>
      <c r="AH3" s="806"/>
      <c r="AI3" s="806"/>
      <c r="AJ3" s="806"/>
      <c r="AK3" s="806"/>
      <c r="AL3" s="806"/>
      <c r="AM3" s="806"/>
      <c r="AN3" s="806"/>
      <c r="AO3" s="806"/>
    </row>
    <row r="4" spans="1:54" s="579" customFormat="1" ht="18.75" customHeight="1" x14ac:dyDescent="0.25">
      <c r="A4" s="580"/>
      <c r="H4" s="825" t="s">
        <v>152</v>
      </c>
      <c r="I4" s="825"/>
      <c r="J4" s="825"/>
      <c r="K4" s="825"/>
      <c r="L4" s="825"/>
      <c r="M4" s="825"/>
      <c r="N4" s="825"/>
      <c r="O4" s="825"/>
      <c r="P4" s="825"/>
      <c r="Q4" s="825"/>
      <c r="R4" s="825"/>
      <c r="S4" s="825"/>
      <c r="T4" s="825"/>
      <c r="U4" s="825"/>
      <c r="V4" s="825"/>
      <c r="W4" s="825"/>
      <c r="X4" s="825"/>
      <c r="Y4" s="825"/>
      <c r="Z4" s="825"/>
      <c r="AA4" s="825"/>
      <c r="AB4" s="825"/>
      <c r="AC4" s="825"/>
      <c r="AD4" s="825"/>
      <c r="AE4" s="825"/>
      <c r="AF4" s="825"/>
      <c r="AG4" s="825"/>
      <c r="AH4" s="825"/>
      <c r="AI4" s="825"/>
      <c r="AJ4" s="825"/>
      <c r="AK4" s="825"/>
      <c r="AL4" s="825"/>
      <c r="AM4" s="825"/>
      <c r="AN4" s="825"/>
      <c r="AO4" s="573"/>
    </row>
    <row r="5" spans="1:54" s="581" customFormat="1" ht="21.75" customHeight="1" x14ac:dyDescent="0.25">
      <c r="A5" s="816" t="s">
        <v>280</v>
      </c>
      <c r="B5" s="816" t="s">
        <v>59</v>
      </c>
      <c r="C5" s="817" t="s">
        <v>319</v>
      </c>
      <c r="D5" s="817" t="s">
        <v>259</v>
      </c>
      <c r="E5" s="826" t="s">
        <v>281</v>
      </c>
      <c r="F5" s="827"/>
      <c r="G5" s="827"/>
      <c r="H5" s="827"/>
      <c r="I5" s="827"/>
      <c r="J5" s="827"/>
      <c r="K5" s="827"/>
      <c r="L5" s="827"/>
      <c r="M5" s="828"/>
      <c r="N5" s="821" t="s">
        <v>389</v>
      </c>
      <c r="O5" s="819"/>
      <c r="P5" s="819"/>
      <c r="Q5" s="819"/>
      <c r="R5" s="819"/>
      <c r="S5" s="819"/>
      <c r="T5" s="819"/>
      <c r="U5" s="819"/>
      <c r="V5" s="820"/>
      <c r="W5" s="821" t="s">
        <v>266</v>
      </c>
      <c r="X5" s="819"/>
      <c r="Y5" s="819"/>
      <c r="Z5" s="819"/>
      <c r="AA5" s="819"/>
      <c r="AB5" s="819"/>
      <c r="AC5" s="819"/>
      <c r="AD5" s="819"/>
      <c r="AE5" s="820"/>
      <c r="AF5" s="816" t="s">
        <v>373</v>
      </c>
      <c r="AG5" s="816"/>
      <c r="AH5" s="816"/>
      <c r="AI5" s="816"/>
      <c r="AJ5" s="816"/>
      <c r="AK5" s="816"/>
      <c r="AL5" s="816"/>
      <c r="AM5" s="816"/>
      <c r="AN5" s="816"/>
      <c r="AO5" s="816" t="s">
        <v>390</v>
      </c>
      <c r="AT5" s="816" t="s">
        <v>475</v>
      </c>
      <c r="AU5" s="816"/>
      <c r="AV5" s="816"/>
      <c r="AW5" s="816"/>
      <c r="AX5" s="816"/>
      <c r="AY5" s="816"/>
      <c r="AZ5" s="816"/>
      <c r="BA5" s="816"/>
      <c r="BB5" s="816"/>
    </row>
    <row r="6" spans="1:54" s="581" customFormat="1" ht="21.75" customHeight="1" x14ac:dyDescent="0.25">
      <c r="A6" s="816"/>
      <c r="B6" s="816"/>
      <c r="C6" s="829"/>
      <c r="D6" s="829"/>
      <c r="E6" s="817" t="s">
        <v>234</v>
      </c>
      <c r="F6" s="817" t="s">
        <v>189</v>
      </c>
      <c r="G6" s="817" t="s">
        <v>243</v>
      </c>
      <c r="H6" s="821" t="s">
        <v>282</v>
      </c>
      <c r="I6" s="819"/>
      <c r="J6" s="820"/>
      <c r="K6" s="821" t="s">
        <v>283</v>
      </c>
      <c r="L6" s="819"/>
      <c r="M6" s="820"/>
      <c r="N6" s="817" t="s">
        <v>234</v>
      </c>
      <c r="O6" s="817" t="s">
        <v>189</v>
      </c>
      <c r="P6" s="817" t="s">
        <v>243</v>
      </c>
      <c r="Q6" s="819" t="s">
        <v>284</v>
      </c>
      <c r="R6" s="819"/>
      <c r="S6" s="820"/>
      <c r="T6" s="821" t="s">
        <v>285</v>
      </c>
      <c r="U6" s="819"/>
      <c r="V6" s="820"/>
      <c r="W6" s="816" t="s">
        <v>234</v>
      </c>
      <c r="X6" s="816" t="s">
        <v>189</v>
      </c>
      <c r="Y6" s="816" t="s">
        <v>243</v>
      </c>
      <c r="Z6" s="816" t="s">
        <v>284</v>
      </c>
      <c r="AA6" s="816"/>
      <c r="AB6" s="816"/>
      <c r="AC6" s="816" t="s">
        <v>285</v>
      </c>
      <c r="AD6" s="816"/>
      <c r="AE6" s="816"/>
      <c r="AF6" s="816" t="s">
        <v>234</v>
      </c>
      <c r="AG6" s="816" t="s">
        <v>189</v>
      </c>
      <c r="AH6" s="816" t="s">
        <v>243</v>
      </c>
      <c r="AI6" s="816" t="s">
        <v>284</v>
      </c>
      <c r="AJ6" s="816"/>
      <c r="AK6" s="816"/>
      <c r="AL6" s="816" t="s">
        <v>285</v>
      </c>
      <c r="AM6" s="816"/>
      <c r="AN6" s="816"/>
      <c r="AO6" s="816"/>
      <c r="AT6" s="816" t="s">
        <v>234</v>
      </c>
      <c r="AU6" s="816" t="s">
        <v>189</v>
      </c>
      <c r="AV6" s="816" t="s">
        <v>243</v>
      </c>
      <c r="AW6" s="816" t="s">
        <v>284</v>
      </c>
      <c r="AX6" s="816"/>
      <c r="AY6" s="816"/>
      <c r="AZ6" s="816" t="s">
        <v>285</v>
      </c>
      <c r="BA6" s="816"/>
      <c r="BB6" s="816"/>
    </row>
    <row r="7" spans="1:54" s="583" customFormat="1" ht="23.25" customHeight="1" x14ac:dyDescent="0.25">
      <c r="A7" s="816"/>
      <c r="B7" s="816"/>
      <c r="C7" s="818"/>
      <c r="D7" s="818"/>
      <c r="E7" s="818"/>
      <c r="F7" s="818"/>
      <c r="G7" s="818"/>
      <c r="H7" s="582" t="s">
        <v>234</v>
      </c>
      <c r="I7" s="582" t="s">
        <v>189</v>
      </c>
      <c r="J7" s="582" t="s">
        <v>243</v>
      </c>
      <c r="K7" s="582" t="s">
        <v>234</v>
      </c>
      <c r="L7" s="582" t="s">
        <v>189</v>
      </c>
      <c r="M7" s="582" t="s">
        <v>243</v>
      </c>
      <c r="N7" s="818"/>
      <c r="O7" s="818"/>
      <c r="P7" s="818"/>
      <c r="Q7" s="582" t="s">
        <v>234</v>
      </c>
      <c r="R7" s="582" t="s">
        <v>189</v>
      </c>
      <c r="S7" s="582" t="s">
        <v>243</v>
      </c>
      <c r="T7" s="582" t="s">
        <v>234</v>
      </c>
      <c r="U7" s="582" t="s">
        <v>189</v>
      </c>
      <c r="V7" s="582" t="s">
        <v>243</v>
      </c>
      <c r="W7" s="816"/>
      <c r="X7" s="816"/>
      <c r="Y7" s="816"/>
      <c r="Z7" s="582" t="s">
        <v>234</v>
      </c>
      <c r="AA7" s="582" t="s">
        <v>189</v>
      </c>
      <c r="AB7" s="582" t="s">
        <v>243</v>
      </c>
      <c r="AC7" s="582" t="s">
        <v>234</v>
      </c>
      <c r="AD7" s="582" t="s">
        <v>189</v>
      </c>
      <c r="AE7" s="582" t="s">
        <v>243</v>
      </c>
      <c r="AF7" s="816"/>
      <c r="AG7" s="816"/>
      <c r="AH7" s="816"/>
      <c r="AI7" s="582" t="s">
        <v>234</v>
      </c>
      <c r="AJ7" s="582" t="s">
        <v>189</v>
      </c>
      <c r="AK7" s="582" t="s">
        <v>243</v>
      </c>
      <c r="AL7" s="582" t="s">
        <v>234</v>
      </c>
      <c r="AM7" s="582" t="s">
        <v>189</v>
      </c>
      <c r="AN7" s="582" t="s">
        <v>243</v>
      </c>
      <c r="AO7" s="816"/>
      <c r="AP7" s="595"/>
      <c r="AT7" s="816"/>
      <c r="AU7" s="816"/>
      <c r="AV7" s="816"/>
      <c r="AW7" s="582" t="s">
        <v>234</v>
      </c>
      <c r="AX7" s="582" t="s">
        <v>189</v>
      </c>
      <c r="AY7" s="582" t="s">
        <v>243</v>
      </c>
      <c r="AZ7" s="582" t="s">
        <v>234</v>
      </c>
      <c r="BA7" s="582" t="s">
        <v>189</v>
      </c>
      <c r="BB7" s="582" t="s">
        <v>243</v>
      </c>
    </row>
    <row r="8" spans="1:54" s="584" customFormat="1" ht="21" customHeight="1" x14ac:dyDescent="0.25">
      <c r="A8" s="98" t="s">
        <v>6</v>
      </c>
      <c r="B8" s="98" t="s">
        <v>7</v>
      </c>
      <c r="C8" s="98"/>
      <c r="D8" s="98"/>
      <c r="E8" s="98">
        <v>1</v>
      </c>
      <c r="F8" s="98">
        <v>2</v>
      </c>
      <c r="G8" s="98">
        <v>3</v>
      </c>
      <c r="H8" s="98">
        <v>4</v>
      </c>
      <c r="I8" s="98">
        <v>5</v>
      </c>
      <c r="J8" s="98">
        <v>6</v>
      </c>
      <c r="K8" s="98">
        <v>7</v>
      </c>
      <c r="L8" s="98">
        <v>8</v>
      </c>
      <c r="M8" s="98">
        <v>9</v>
      </c>
      <c r="N8" s="98">
        <v>10</v>
      </c>
      <c r="O8" s="98">
        <v>11</v>
      </c>
      <c r="P8" s="98">
        <v>12</v>
      </c>
      <c r="Q8" s="98">
        <v>13</v>
      </c>
      <c r="R8" s="98">
        <v>14</v>
      </c>
      <c r="S8" s="98">
        <v>15</v>
      </c>
      <c r="T8" s="98">
        <v>16</v>
      </c>
      <c r="U8" s="98">
        <v>17</v>
      </c>
      <c r="V8" s="98">
        <v>18</v>
      </c>
      <c r="W8" s="98">
        <v>28</v>
      </c>
      <c r="X8" s="98">
        <v>29</v>
      </c>
      <c r="Y8" s="98">
        <v>30</v>
      </c>
      <c r="Z8" s="98">
        <v>31</v>
      </c>
      <c r="AA8" s="98">
        <v>32</v>
      </c>
      <c r="AB8" s="98">
        <v>33</v>
      </c>
      <c r="AC8" s="98">
        <v>34</v>
      </c>
      <c r="AD8" s="98">
        <v>35</v>
      </c>
      <c r="AE8" s="98">
        <v>36</v>
      </c>
      <c r="AF8" s="98">
        <v>19</v>
      </c>
      <c r="AG8" s="98">
        <v>20</v>
      </c>
      <c r="AH8" s="98">
        <v>21</v>
      </c>
      <c r="AI8" s="98">
        <v>22</v>
      </c>
      <c r="AJ8" s="98">
        <v>23</v>
      </c>
      <c r="AK8" s="98">
        <v>24</v>
      </c>
      <c r="AL8" s="98">
        <v>25</v>
      </c>
      <c r="AM8" s="98">
        <v>26</v>
      </c>
      <c r="AN8" s="98">
        <v>27</v>
      </c>
      <c r="AO8" s="98">
        <v>28</v>
      </c>
      <c r="AT8" s="98">
        <v>19</v>
      </c>
      <c r="AU8" s="98">
        <v>20</v>
      </c>
      <c r="AV8" s="98">
        <v>21</v>
      </c>
      <c r="AW8" s="98">
        <v>22</v>
      </c>
      <c r="AX8" s="98">
        <v>23</v>
      </c>
      <c r="AY8" s="98">
        <v>24</v>
      </c>
      <c r="AZ8" s="98">
        <v>25</v>
      </c>
      <c r="BA8" s="98">
        <v>26</v>
      </c>
      <c r="BB8" s="98">
        <v>27</v>
      </c>
    </row>
    <row r="9" spans="1:54" s="584" customFormat="1" ht="21" hidden="1" customHeight="1" x14ac:dyDescent="0.25">
      <c r="A9" s="98"/>
      <c r="B9" s="98"/>
      <c r="C9" s="98"/>
      <c r="D9" s="98"/>
      <c r="E9" s="616">
        <f>E11-E10</f>
        <v>-940493435</v>
      </c>
      <c r="F9" s="616">
        <f t="shared" ref="F9:AN9" si="0">F11-F10</f>
        <v>-940009435</v>
      </c>
      <c r="G9" s="616">
        <f t="shared" si="0"/>
        <v>-484000</v>
      </c>
      <c r="H9" s="616">
        <f t="shared" si="0"/>
        <v>-939950638</v>
      </c>
      <c r="I9" s="616">
        <f t="shared" si="0"/>
        <v>-939950638</v>
      </c>
      <c r="J9" s="616">
        <f t="shared" si="0"/>
        <v>0</v>
      </c>
      <c r="K9" s="616">
        <f t="shared" si="0"/>
        <v>-542797</v>
      </c>
      <c r="L9" s="616">
        <f t="shared" si="0"/>
        <v>-58797</v>
      </c>
      <c r="M9" s="616">
        <f t="shared" si="0"/>
        <v>-484000</v>
      </c>
      <c r="N9" s="616">
        <f t="shared" si="0"/>
        <v>8726974997</v>
      </c>
      <c r="O9" s="616">
        <f t="shared" si="0"/>
        <v>6987774997</v>
      </c>
      <c r="P9" s="616">
        <f t="shared" si="0"/>
        <v>1739200000</v>
      </c>
      <c r="Q9" s="616">
        <f t="shared" si="0"/>
        <v>1967866907</v>
      </c>
      <c r="R9" s="616">
        <f t="shared" si="0"/>
        <v>1097366907</v>
      </c>
      <c r="S9" s="616">
        <f t="shared" si="0"/>
        <v>870500000</v>
      </c>
      <c r="T9" s="616">
        <f t="shared" si="0"/>
        <v>6759108090</v>
      </c>
      <c r="U9" s="616">
        <f t="shared" si="0"/>
        <v>5890408090</v>
      </c>
      <c r="V9" s="616">
        <f t="shared" si="0"/>
        <v>868700000</v>
      </c>
      <c r="W9" s="616">
        <f t="shared" si="0"/>
        <v>136323050</v>
      </c>
      <c r="X9" s="616">
        <f t="shared" si="0"/>
        <v>16561203.00000006</v>
      </c>
      <c r="Y9" s="616">
        <f t="shared" si="0"/>
        <v>119761847</v>
      </c>
      <c r="Z9" s="616">
        <f t="shared" si="0"/>
        <v>136381847</v>
      </c>
      <c r="AA9" s="616">
        <f t="shared" si="0"/>
        <v>16620000</v>
      </c>
      <c r="AB9" s="616">
        <f t="shared" si="0"/>
        <v>119761847</v>
      </c>
      <c r="AC9" s="616">
        <f t="shared" si="0"/>
        <v>-58796.999999880791</v>
      </c>
      <c r="AD9" s="616">
        <f t="shared" si="0"/>
        <v>-58796.999999821186</v>
      </c>
      <c r="AE9" s="616">
        <f t="shared" si="0"/>
        <v>0</v>
      </c>
      <c r="AF9" s="616">
        <f t="shared" si="0"/>
        <v>21433940011</v>
      </c>
      <c r="AG9" s="616">
        <f t="shared" si="0"/>
        <v>19666015821</v>
      </c>
      <c r="AH9" s="616">
        <f t="shared" si="0"/>
        <v>1767924190</v>
      </c>
      <c r="AI9" s="616">
        <f t="shared" si="0"/>
        <v>17440348778</v>
      </c>
      <c r="AJ9" s="616">
        <f t="shared" si="0"/>
        <v>16402539588</v>
      </c>
      <c r="AK9" s="616">
        <f t="shared" si="0"/>
        <v>1037809190</v>
      </c>
      <c r="AL9" s="616">
        <f t="shared" si="0"/>
        <v>3993591233</v>
      </c>
      <c r="AM9" s="616">
        <f t="shared" si="0"/>
        <v>3263476233</v>
      </c>
      <c r="AN9" s="616">
        <f t="shared" si="0"/>
        <v>730115000</v>
      </c>
      <c r="AO9" s="616"/>
    </row>
    <row r="10" spans="1:54" s="584" customFormat="1" ht="21" hidden="1" customHeight="1" x14ac:dyDescent="0.25">
      <c r="A10" s="98"/>
      <c r="B10" s="98"/>
      <c r="C10" s="98"/>
      <c r="D10" s="98"/>
      <c r="E10" s="617">
        <v>55407952730</v>
      </c>
      <c r="F10" s="617">
        <v>44882833035</v>
      </c>
      <c r="G10" s="617">
        <v>10525119695</v>
      </c>
      <c r="H10" s="617">
        <v>34277136001</v>
      </c>
      <c r="I10" s="617">
        <v>25825999306</v>
      </c>
      <c r="J10" s="617">
        <v>8451136695</v>
      </c>
      <c r="K10" s="617">
        <v>21130816729</v>
      </c>
      <c r="L10" s="617">
        <v>19056833729</v>
      </c>
      <c r="M10" s="617">
        <v>2073983000</v>
      </c>
      <c r="N10" s="617">
        <v>28559087839</v>
      </c>
      <c r="O10" s="617">
        <v>23915817802</v>
      </c>
      <c r="P10" s="617">
        <v>4643270037</v>
      </c>
      <c r="Q10" s="617">
        <v>20931758431</v>
      </c>
      <c r="R10" s="617">
        <v>17174187394</v>
      </c>
      <c r="S10" s="617">
        <v>3757571037</v>
      </c>
      <c r="T10" s="617">
        <v>7627329408</v>
      </c>
      <c r="U10" s="617">
        <v>6741630408</v>
      </c>
      <c r="V10" s="617">
        <v>885699000</v>
      </c>
      <c r="W10" s="617">
        <v>708791824</v>
      </c>
      <c r="X10" s="617">
        <v>465616024.99999988</v>
      </c>
      <c r="Y10" s="617">
        <v>243175799</v>
      </c>
      <c r="Z10" s="617">
        <v>614342678</v>
      </c>
      <c r="AA10" s="617">
        <v>371166878.99999994</v>
      </c>
      <c r="AB10" s="617">
        <v>243175799</v>
      </c>
      <c r="AC10" s="617">
        <v>94449145.999999881</v>
      </c>
      <c r="AD10" s="617">
        <v>94449145.999999821</v>
      </c>
      <c r="AE10" s="617">
        <v>0</v>
      </c>
      <c r="AF10" s="617">
        <v>26140073067</v>
      </c>
      <c r="AG10" s="617">
        <v>20501399208</v>
      </c>
      <c r="AH10" s="617">
        <v>5638673859</v>
      </c>
      <c r="AI10" s="617">
        <v>12731034892</v>
      </c>
      <c r="AJ10" s="617">
        <v>8280645033</v>
      </c>
      <c r="AK10" s="617">
        <v>4450389859</v>
      </c>
      <c r="AL10" s="617">
        <v>13409038175</v>
      </c>
      <c r="AM10" s="617">
        <v>12220754175</v>
      </c>
      <c r="AN10" s="617">
        <v>1188284000</v>
      </c>
      <c r="AO10" s="617"/>
    </row>
    <row r="11" spans="1:54" s="583" customFormat="1" ht="21" customHeight="1" x14ac:dyDescent="0.25">
      <c r="A11" s="618"/>
      <c r="B11" s="101" t="s">
        <v>270</v>
      </c>
      <c r="C11" s="101"/>
      <c r="D11" s="101"/>
      <c r="E11" s="106">
        <f t="shared" ref="E11:AN11" si="1">E12+E20+E43+E51</f>
        <v>54467459295</v>
      </c>
      <c r="F11" s="106">
        <f t="shared" si="1"/>
        <v>43942823600</v>
      </c>
      <c r="G11" s="106">
        <f t="shared" si="1"/>
        <v>10524635695</v>
      </c>
      <c r="H11" s="106">
        <f t="shared" si="1"/>
        <v>33337185363</v>
      </c>
      <c r="I11" s="106">
        <f t="shared" si="1"/>
        <v>24886048668</v>
      </c>
      <c r="J11" s="106">
        <f t="shared" si="1"/>
        <v>8451136695</v>
      </c>
      <c r="K11" s="106">
        <f t="shared" si="1"/>
        <v>21130273932</v>
      </c>
      <c r="L11" s="106">
        <f t="shared" si="1"/>
        <v>19056774932</v>
      </c>
      <c r="M11" s="106">
        <f t="shared" si="1"/>
        <v>2073499000</v>
      </c>
      <c r="N11" s="106">
        <f t="shared" si="1"/>
        <v>37286062836</v>
      </c>
      <c r="O11" s="106">
        <f t="shared" si="1"/>
        <v>30903592799</v>
      </c>
      <c r="P11" s="106">
        <f t="shared" si="1"/>
        <v>6382470037</v>
      </c>
      <c r="Q11" s="106">
        <f t="shared" si="1"/>
        <v>22899625338</v>
      </c>
      <c r="R11" s="106">
        <f t="shared" si="1"/>
        <v>18271554301</v>
      </c>
      <c r="S11" s="106">
        <f t="shared" si="1"/>
        <v>4628071037</v>
      </c>
      <c r="T11" s="106">
        <f t="shared" si="1"/>
        <v>14386437498</v>
      </c>
      <c r="U11" s="106">
        <f t="shared" si="1"/>
        <v>12632038498</v>
      </c>
      <c r="V11" s="106">
        <f t="shared" si="1"/>
        <v>1754399000</v>
      </c>
      <c r="W11" s="106">
        <f t="shared" si="1"/>
        <v>845114874</v>
      </c>
      <c r="X11" s="106">
        <f t="shared" si="1"/>
        <v>482177227.99999994</v>
      </c>
      <c r="Y11" s="106">
        <f t="shared" si="1"/>
        <v>362937646</v>
      </c>
      <c r="Z11" s="106">
        <f t="shared" si="1"/>
        <v>750724525</v>
      </c>
      <c r="AA11" s="106">
        <f t="shared" si="1"/>
        <v>387786878.99999994</v>
      </c>
      <c r="AB11" s="106">
        <f t="shared" si="1"/>
        <v>362937646</v>
      </c>
      <c r="AC11" s="106">
        <f t="shared" si="1"/>
        <v>94390349</v>
      </c>
      <c r="AD11" s="106">
        <f t="shared" si="1"/>
        <v>94390349</v>
      </c>
      <c r="AE11" s="106">
        <f t="shared" si="1"/>
        <v>0</v>
      </c>
      <c r="AF11" s="106">
        <f t="shared" si="1"/>
        <v>47574013078</v>
      </c>
      <c r="AG11" s="106">
        <f t="shared" si="1"/>
        <v>40167415029</v>
      </c>
      <c r="AH11" s="106">
        <f t="shared" si="1"/>
        <v>7406598049</v>
      </c>
      <c r="AI11" s="106">
        <f t="shared" si="1"/>
        <v>30171383670</v>
      </c>
      <c r="AJ11" s="106">
        <f t="shared" si="1"/>
        <v>24683184621</v>
      </c>
      <c r="AK11" s="106">
        <f t="shared" si="1"/>
        <v>5488199049</v>
      </c>
      <c r="AL11" s="106">
        <f t="shared" si="1"/>
        <v>17402629408</v>
      </c>
      <c r="AM11" s="106">
        <f t="shared" si="1"/>
        <v>15484230408</v>
      </c>
      <c r="AN11" s="106">
        <f t="shared" si="1"/>
        <v>1918399000</v>
      </c>
      <c r="AO11" s="619">
        <f>AF11/E11</f>
        <v>0.87343918173850266</v>
      </c>
      <c r="AT11" s="620">
        <f>E11-AF11</f>
        <v>6893446217</v>
      </c>
      <c r="AU11" s="620">
        <f t="shared" ref="AU11:BB11" si="2">F11-AG11</f>
        <v>3775408571</v>
      </c>
      <c r="AV11" s="620">
        <f t="shared" si="2"/>
        <v>3118037646</v>
      </c>
      <c r="AW11" s="620">
        <f t="shared" si="2"/>
        <v>3165801693</v>
      </c>
      <c r="AX11" s="620">
        <f t="shared" si="2"/>
        <v>202864047</v>
      </c>
      <c r="AY11" s="620">
        <f t="shared" si="2"/>
        <v>2962937646</v>
      </c>
      <c r="AZ11" s="620">
        <f t="shared" si="2"/>
        <v>3727644524</v>
      </c>
      <c r="BA11" s="620">
        <f t="shared" si="2"/>
        <v>3572544524</v>
      </c>
      <c r="BB11" s="620">
        <f t="shared" si="2"/>
        <v>155100000</v>
      </c>
    </row>
    <row r="12" spans="1:54" s="583" customFormat="1" ht="29.25" customHeight="1" x14ac:dyDescent="0.25">
      <c r="A12" s="148" t="s">
        <v>6</v>
      </c>
      <c r="B12" s="108" t="s">
        <v>271</v>
      </c>
      <c r="C12" s="108"/>
      <c r="D12" s="108"/>
      <c r="E12" s="113">
        <f>E13</f>
        <v>26747827534</v>
      </c>
      <c r="F12" s="113">
        <f t="shared" ref="F12:AN12" si="3">F13</f>
        <v>25748211534</v>
      </c>
      <c r="G12" s="113">
        <f t="shared" si="3"/>
        <v>999616000</v>
      </c>
      <c r="H12" s="113">
        <f t="shared" si="3"/>
        <v>23047827534</v>
      </c>
      <c r="I12" s="113">
        <f t="shared" si="3"/>
        <v>22402211534</v>
      </c>
      <c r="J12" s="113">
        <f t="shared" si="3"/>
        <v>645616000</v>
      </c>
      <c r="K12" s="113">
        <f t="shared" si="3"/>
        <v>3700000000</v>
      </c>
      <c r="L12" s="113">
        <f t="shared" si="3"/>
        <v>3346000000</v>
      </c>
      <c r="M12" s="113">
        <f t="shared" si="3"/>
        <v>354000000</v>
      </c>
      <c r="N12" s="113">
        <f t="shared" si="3"/>
        <v>17971807923</v>
      </c>
      <c r="O12" s="113">
        <f t="shared" si="3"/>
        <v>17075391923</v>
      </c>
      <c r="P12" s="113">
        <f t="shared" si="3"/>
        <v>896416000</v>
      </c>
      <c r="Q12" s="113">
        <f t="shared" si="3"/>
        <v>17250698989</v>
      </c>
      <c r="R12" s="113">
        <f t="shared" si="3"/>
        <v>16605082989</v>
      </c>
      <c r="S12" s="113">
        <f t="shared" si="3"/>
        <v>645616000</v>
      </c>
      <c r="T12" s="113">
        <f t="shared" si="3"/>
        <v>721108934.00000012</v>
      </c>
      <c r="U12" s="113">
        <f t="shared" si="3"/>
        <v>470308934.00000012</v>
      </c>
      <c r="V12" s="113">
        <f t="shared" si="3"/>
        <v>250800000</v>
      </c>
      <c r="W12" s="113">
        <f t="shared" si="3"/>
        <v>30075891</v>
      </c>
      <c r="X12" s="113">
        <f t="shared" si="3"/>
        <v>30075891</v>
      </c>
      <c r="Y12" s="113">
        <f t="shared" si="3"/>
        <v>0</v>
      </c>
      <c r="Z12" s="113">
        <f t="shared" si="3"/>
        <v>0</v>
      </c>
      <c r="AA12" s="113">
        <f t="shared" si="3"/>
        <v>0</v>
      </c>
      <c r="AB12" s="113">
        <f t="shared" si="3"/>
        <v>0</v>
      </c>
      <c r="AC12" s="113">
        <f t="shared" si="3"/>
        <v>30075891</v>
      </c>
      <c r="AD12" s="113">
        <f t="shared" si="3"/>
        <v>30075891</v>
      </c>
      <c r="AE12" s="113">
        <f t="shared" si="3"/>
        <v>0</v>
      </c>
      <c r="AF12" s="113">
        <f t="shared" si="3"/>
        <v>23953859300</v>
      </c>
      <c r="AG12" s="113">
        <f t="shared" si="3"/>
        <v>23057443300</v>
      </c>
      <c r="AH12" s="113">
        <f t="shared" si="3"/>
        <v>896416000</v>
      </c>
      <c r="AI12" s="113">
        <f t="shared" si="3"/>
        <v>23232750366</v>
      </c>
      <c r="AJ12" s="113">
        <f t="shared" si="3"/>
        <v>22587134366</v>
      </c>
      <c r="AK12" s="113">
        <f t="shared" si="3"/>
        <v>645616000</v>
      </c>
      <c r="AL12" s="113">
        <f t="shared" si="3"/>
        <v>721108934.00000012</v>
      </c>
      <c r="AM12" s="113">
        <f t="shared" si="3"/>
        <v>470308934.00000012</v>
      </c>
      <c r="AN12" s="113">
        <f t="shared" si="3"/>
        <v>250800000</v>
      </c>
      <c r="AO12" s="621">
        <f>AF12/E12</f>
        <v>0.8955441061354048</v>
      </c>
      <c r="AP12" s="586"/>
      <c r="AT12" s="620">
        <f t="shared" ref="AT12:AT57" si="4">E12-AF12</f>
        <v>2793968234</v>
      </c>
      <c r="AU12" s="620">
        <f t="shared" ref="AU12:AU57" si="5">F12-AG12</f>
        <v>2690768234</v>
      </c>
      <c r="AV12" s="620">
        <f t="shared" ref="AV12:AV57" si="6">G12-AH12</f>
        <v>103200000</v>
      </c>
      <c r="AW12" s="620">
        <f t="shared" ref="AW12:AW57" si="7">H12-AI12</f>
        <v>-184922832</v>
      </c>
      <c r="AX12" s="620">
        <f t="shared" ref="AX12:AX57" si="8">I12-AJ12</f>
        <v>-184922832</v>
      </c>
      <c r="AY12" s="620">
        <f t="shared" ref="AY12:AY57" si="9">J12-AK12</f>
        <v>0</v>
      </c>
      <c r="AZ12" s="620">
        <f t="shared" ref="AZ12:AZ57" si="10">K12-AL12</f>
        <v>2978891066</v>
      </c>
      <c r="BA12" s="620">
        <f t="shared" ref="BA12:BA57" si="11">L12-AM12</f>
        <v>2875691066</v>
      </c>
      <c r="BB12" s="620">
        <f t="shared" ref="BB12:BB57" si="12">M12-AN12</f>
        <v>103200000</v>
      </c>
    </row>
    <row r="13" spans="1:54" s="624" customFormat="1" ht="50.25" customHeight="1" x14ac:dyDescent="0.25">
      <c r="A13" s="149" t="s">
        <v>23</v>
      </c>
      <c r="B13" s="115" t="s">
        <v>320</v>
      </c>
      <c r="C13" s="115" t="s">
        <v>196</v>
      </c>
      <c r="D13" s="115"/>
      <c r="E13" s="119">
        <f t="shared" ref="E13:AN13" si="13">SUM(E14:E19)</f>
        <v>26747827534</v>
      </c>
      <c r="F13" s="119">
        <f t="shared" si="13"/>
        <v>25748211534</v>
      </c>
      <c r="G13" s="119">
        <f t="shared" si="13"/>
        <v>999616000</v>
      </c>
      <c r="H13" s="119">
        <f t="shared" si="13"/>
        <v>23047827534</v>
      </c>
      <c r="I13" s="119">
        <f t="shared" si="13"/>
        <v>22402211534</v>
      </c>
      <c r="J13" s="119">
        <f t="shared" si="13"/>
        <v>645616000</v>
      </c>
      <c r="K13" s="119">
        <f t="shared" si="13"/>
        <v>3700000000</v>
      </c>
      <c r="L13" s="119">
        <f t="shared" si="13"/>
        <v>3346000000</v>
      </c>
      <c r="M13" s="119">
        <f t="shared" si="13"/>
        <v>354000000</v>
      </c>
      <c r="N13" s="119">
        <f t="shared" si="13"/>
        <v>17971807923</v>
      </c>
      <c r="O13" s="119">
        <f t="shared" si="13"/>
        <v>17075391923</v>
      </c>
      <c r="P13" s="119">
        <f t="shared" si="13"/>
        <v>896416000</v>
      </c>
      <c r="Q13" s="119">
        <f t="shared" si="13"/>
        <v>17250698989</v>
      </c>
      <c r="R13" s="119">
        <f t="shared" si="13"/>
        <v>16605082989</v>
      </c>
      <c r="S13" s="119">
        <f t="shared" si="13"/>
        <v>645616000</v>
      </c>
      <c r="T13" s="119">
        <f t="shared" si="13"/>
        <v>721108934.00000012</v>
      </c>
      <c r="U13" s="119">
        <f t="shared" si="13"/>
        <v>470308934.00000012</v>
      </c>
      <c r="V13" s="119">
        <f t="shared" si="13"/>
        <v>250800000</v>
      </c>
      <c r="W13" s="119">
        <f t="shared" si="13"/>
        <v>30075891</v>
      </c>
      <c r="X13" s="119">
        <f t="shared" si="13"/>
        <v>30075891</v>
      </c>
      <c r="Y13" s="119">
        <f t="shared" si="13"/>
        <v>0</v>
      </c>
      <c r="Z13" s="119">
        <f t="shared" si="13"/>
        <v>0</v>
      </c>
      <c r="AA13" s="119">
        <f t="shared" si="13"/>
        <v>0</v>
      </c>
      <c r="AB13" s="119">
        <f t="shared" si="13"/>
        <v>0</v>
      </c>
      <c r="AC13" s="119">
        <f t="shared" si="13"/>
        <v>30075891</v>
      </c>
      <c r="AD13" s="119">
        <f t="shared" si="13"/>
        <v>30075891</v>
      </c>
      <c r="AE13" s="119">
        <f t="shared" si="13"/>
        <v>0</v>
      </c>
      <c r="AF13" s="119">
        <f t="shared" si="13"/>
        <v>23953859300</v>
      </c>
      <c r="AG13" s="119">
        <f t="shared" si="13"/>
        <v>23057443300</v>
      </c>
      <c r="AH13" s="119">
        <f t="shared" si="13"/>
        <v>896416000</v>
      </c>
      <c r="AI13" s="119">
        <f t="shared" si="13"/>
        <v>23232750366</v>
      </c>
      <c r="AJ13" s="119">
        <f t="shared" si="13"/>
        <v>22587134366</v>
      </c>
      <c r="AK13" s="119">
        <f t="shared" si="13"/>
        <v>645616000</v>
      </c>
      <c r="AL13" s="119">
        <f t="shared" si="13"/>
        <v>721108934.00000012</v>
      </c>
      <c r="AM13" s="119">
        <f t="shared" si="13"/>
        <v>470308934.00000012</v>
      </c>
      <c r="AN13" s="119">
        <f t="shared" si="13"/>
        <v>250800000</v>
      </c>
      <c r="AO13" s="622"/>
      <c r="AP13" s="587">
        <f>AF15-N15</f>
        <v>406400000</v>
      </c>
      <c r="AQ13" s="623" t="s">
        <v>321</v>
      </c>
      <c r="AT13" s="620">
        <f t="shared" si="4"/>
        <v>2793968234</v>
      </c>
      <c r="AU13" s="620">
        <f t="shared" si="5"/>
        <v>2690768234</v>
      </c>
      <c r="AV13" s="620">
        <f t="shared" si="6"/>
        <v>103200000</v>
      </c>
      <c r="AW13" s="620">
        <f t="shared" si="7"/>
        <v>-184922832</v>
      </c>
      <c r="AX13" s="620">
        <f t="shared" si="8"/>
        <v>-184922832</v>
      </c>
      <c r="AY13" s="620">
        <f t="shared" si="9"/>
        <v>0</v>
      </c>
      <c r="AZ13" s="620">
        <f t="shared" si="10"/>
        <v>2978891066</v>
      </c>
      <c r="BA13" s="620">
        <f t="shared" si="11"/>
        <v>2875691066</v>
      </c>
      <c r="BB13" s="620">
        <f t="shared" si="12"/>
        <v>103200000</v>
      </c>
    </row>
    <row r="14" spans="1:54" s="628" customFormat="1" ht="37.5" customHeight="1" x14ac:dyDescent="0.25">
      <c r="A14" s="147">
        <v>1</v>
      </c>
      <c r="B14" s="120" t="s">
        <v>322</v>
      </c>
      <c r="C14" s="120" t="s">
        <v>323</v>
      </c>
      <c r="D14" s="120" t="s">
        <v>273</v>
      </c>
      <c r="E14" s="125">
        <f t="shared" ref="E14:E19" si="14">F14+G14</f>
        <v>1912063016</v>
      </c>
      <c r="F14" s="625">
        <f t="shared" ref="F14:G19" si="15">I14+L14</f>
        <v>1912063016</v>
      </c>
      <c r="G14" s="625">
        <f t="shared" si="15"/>
        <v>0</v>
      </c>
      <c r="H14" s="125">
        <f t="shared" ref="H14:H18" si="16">I14+J14</f>
        <v>1441754082</v>
      </c>
      <c r="I14" s="126">
        <v>1441754082</v>
      </c>
      <c r="J14" s="126">
        <v>0</v>
      </c>
      <c r="K14" s="125">
        <f t="shared" ref="K14:K19" si="17">L14+M14</f>
        <v>470308934.00000012</v>
      </c>
      <c r="L14" s="126">
        <v>470308934.00000012</v>
      </c>
      <c r="M14" s="126">
        <v>0</v>
      </c>
      <c r="N14" s="125">
        <f t="shared" ref="N14:N18" si="18">O14+P14</f>
        <v>1912063016</v>
      </c>
      <c r="O14" s="625">
        <f t="shared" ref="O14:P18" si="19">R14+U14</f>
        <v>1912063016</v>
      </c>
      <c r="P14" s="625">
        <f t="shared" si="19"/>
        <v>0</v>
      </c>
      <c r="Q14" s="125">
        <f t="shared" ref="Q14:Q18" si="20">R14+S14</f>
        <v>1441754082</v>
      </c>
      <c r="R14" s="126">
        <v>1441754082</v>
      </c>
      <c r="S14" s="126">
        <v>0</v>
      </c>
      <c r="T14" s="125">
        <f t="shared" ref="T14:T18" si="21">U14+V14</f>
        <v>470308934.00000012</v>
      </c>
      <c r="U14" s="126">
        <v>470308934.00000012</v>
      </c>
      <c r="V14" s="126">
        <v>0</v>
      </c>
      <c r="W14" s="125">
        <f t="shared" ref="W14" si="22">X14+Y14</f>
        <v>0</v>
      </c>
      <c r="X14" s="625">
        <f t="shared" ref="X14:Y14" si="23">AA14+AD14</f>
        <v>0</v>
      </c>
      <c r="Y14" s="625">
        <f t="shared" si="23"/>
        <v>0</v>
      </c>
      <c r="Z14" s="130">
        <v>0</v>
      </c>
      <c r="AA14" s="130">
        <v>0</v>
      </c>
      <c r="AB14" s="130">
        <v>0</v>
      </c>
      <c r="AC14" s="130">
        <f>AD14</f>
        <v>0</v>
      </c>
      <c r="AD14" s="130">
        <v>0</v>
      </c>
      <c r="AE14" s="130">
        <v>0</v>
      </c>
      <c r="AF14" s="125">
        <f t="shared" ref="AF14" si="24">AG14+AH14</f>
        <v>1912063016</v>
      </c>
      <c r="AG14" s="625">
        <f t="shared" ref="AG14" si="25">AJ14+AM14</f>
        <v>1912063016</v>
      </c>
      <c r="AH14" s="625">
        <f t="shared" ref="AH14" si="26">AK14+AN14</f>
        <v>0</v>
      </c>
      <c r="AI14" s="125">
        <f t="shared" ref="AI14" si="27">AJ14+AK14</f>
        <v>1441754082</v>
      </c>
      <c r="AJ14" s="126">
        <v>1441754082</v>
      </c>
      <c r="AK14" s="126">
        <v>0</v>
      </c>
      <c r="AL14" s="125">
        <f t="shared" ref="AL14" si="28">AM14+AN14</f>
        <v>470308934.00000012</v>
      </c>
      <c r="AM14" s="126">
        <v>470308934.00000012</v>
      </c>
      <c r="AN14" s="126">
        <v>0</v>
      </c>
      <c r="AO14" s="626"/>
      <c r="AP14" s="595" t="s">
        <v>273</v>
      </c>
      <c r="AQ14" s="627" t="s">
        <v>324</v>
      </c>
      <c r="AT14" s="620">
        <f t="shared" si="4"/>
        <v>0</v>
      </c>
      <c r="AU14" s="620">
        <f t="shared" si="5"/>
        <v>0</v>
      </c>
      <c r="AV14" s="620">
        <f t="shared" si="6"/>
        <v>0</v>
      </c>
      <c r="AW14" s="620">
        <f t="shared" si="7"/>
        <v>0</v>
      </c>
      <c r="AX14" s="620">
        <f t="shared" si="8"/>
        <v>0</v>
      </c>
      <c r="AY14" s="620">
        <f t="shared" si="9"/>
        <v>0</v>
      </c>
      <c r="AZ14" s="620">
        <f t="shared" si="10"/>
        <v>0</v>
      </c>
      <c r="BA14" s="620">
        <f t="shared" si="11"/>
        <v>0</v>
      </c>
      <c r="BB14" s="620">
        <f t="shared" si="12"/>
        <v>0</v>
      </c>
    </row>
    <row r="15" spans="1:54" s="628" customFormat="1" ht="37.5" customHeight="1" x14ac:dyDescent="0.25">
      <c r="A15" s="147">
        <v>2</v>
      </c>
      <c r="B15" s="120" t="s">
        <v>325</v>
      </c>
      <c r="C15" s="120" t="s">
        <v>323</v>
      </c>
      <c r="D15" s="120" t="s">
        <v>326</v>
      </c>
      <c r="E15" s="125">
        <f>F15+G15</f>
        <v>3937600719</v>
      </c>
      <c r="F15" s="625">
        <f>I15+L15</f>
        <v>3937600719</v>
      </c>
      <c r="G15" s="625">
        <f>J15+M15</f>
        <v>0</v>
      </c>
      <c r="H15" s="125">
        <f>I15+J15</f>
        <v>3937600719</v>
      </c>
      <c r="I15" s="126">
        <v>3937600719</v>
      </c>
      <c r="J15" s="126">
        <v>0</v>
      </c>
      <c r="K15" s="125">
        <f>L15+M15</f>
        <v>0</v>
      </c>
      <c r="L15" s="126">
        <v>0</v>
      </c>
      <c r="M15" s="126">
        <v>0</v>
      </c>
      <c r="N15" s="125">
        <f>O15+P15</f>
        <v>2629600000</v>
      </c>
      <c r="O15" s="625">
        <f>R15+U15</f>
        <v>2629600000</v>
      </c>
      <c r="P15" s="625">
        <f>S15+V15</f>
        <v>0</v>
      </c>
      <c r="Q15" s="125">
        <f>R15+S15</f>
        <v>2629600000</v>
      </c>
      <c r="R15" s="126">
        <v>2629600000</v>
      </c>
      <c r="S15" s="126">
        <v>0</v>
      </c>
      <c r="T15" s="125">
        <f>U15+V15</f>
        <v>0</v>
      </c>
      <c r="U15" s="126">
        <v>0</v>
      </c>
      <c r="V15" s="126">
        <v>0</v>
      </c>
      <c r="W15" s="130"/>
      <c r="X15" s="130"/>
      <c r="Y15" s="130"/>
      <c r="Z15" s="130"/>
      <c r="AA15" s="130"/>
      <c r="AB15" s="130"/>
      <c r="AC15" s="130"/>
      <c r="AD15" s="130"/>
      <c r="AE15" s="130"/>
      <c r="AF15" s="125">
        <f>AG15+AH15</f>
        <v>3036000000</v>
      </c>
      <c r="AG15" s="625">
        <f>AJ15+AM15</f>
        <v>3036000000</v>
      </c>
      <c r="AH15" s="625">
        <f>AK15+AN15</f>
        <v>0</v>
      </c>
      <c r="AI15" s="125">
        <f>AJ15+AK15</f>
        <v>3036000000</v>
      </c>
      <c r="AJ15" s="126">
        <v>3036000000</v>
      </c>
      <c r="AK15" s="126">
        <v>0</v>
      </c>
      <c r="AL15" s="125">
        <f>AM15+AN15</f>
        <v>0</v>
      </c>
      <c r="AM15" s="126">
        <v>0</v>
      </c>
      <c r="AN15" s="126">
        <v>0</v>
      </c>
      <c r="AO15" s="626"/>
      <c r="AP15" s="595" t="s">
        <v>327</v>
      </c>
      <c r="AQ15" s="627" t="s">
        <v>328</v>
      </c>
      <c r="AR15" s="629" t="s">
        <v>327</v>
      </c>
      <c r="AT15" s="620">
        <f t="shared" si="4"/>
        <v>901600719</v>
      </c>
      <c r="AU15" s="620">
        <f t="shared" si="5"/>
        <v>901600719</v>
      </c>
      <c r="AV15" s="620">
        <f t="shared" si="6"/>
        <v>0</v>
      </c>
      <c r="AW15" s="620">
        <f t="shared" si="7"/>
        <v>901600719</v>
      </c>
      <c r="AX15" s="620">
        <f t="shared" si="8"/>
        <v>901600719</v>
      </c>
      <c r="AY15" s="620">
        <f t="shared" si="9"/>
        <v>0</v>
      </c>
      <c r="AZ15" s="620">
        <f t="shared" si="10"/>
        <v>0</v>
      </c>
      <c r="BA15" s="620">
        <f t="shared" si="11"/>
        <v>0</v>
      </c>
      <c r="BB15" s="620">
        <f t="shared" si="12"/>
        <v>0</v>
      </c>
    </row>
    <row r="16" spans="1:54" s="628" customFormat="1" ht="37.5" customHeight="1" x14ac:dyDescent="0.25">
      <c r="A16" s="147">
        <v>3</v>
      </c>
      <c r="B16" s="120" t="s">
        <v>329</v>
      </c>
      <c r="C16" s="120" t="s">
        <v>323</v>
      </c>
      <c r="D16" s="120" t="s">
        <v>274</v>
      </c>
      <c r="E16" s="125">
        <f>F16+G16</f>
        <v>5654962994</v>
      </c>
      <c r="F16" s="625">
        <f>I16+L16</f>
        <v>5654962994</v>
      </c>
      <c r="G16" s="625">
        <f>J16+M16</f>
        <v>0</v>
      </c>
      <c r="H16" s="125">
        <f>I16+J16</f>
        <v>5654962994</v>
      </c>
      <c r="I16" s="126">
        <v>5654962994</v>
      </c>
      <c r="J16" s="126">
        <v>0</v>
      </c>
      <c r="K16" s="125">
        <f>L16+M16</f>
        <v>0</v>
      </c>
      <c r="L16" s="126">
        <v>0</v>
      </c>
      <c r="M16" s="126">
        <v>0</v>
      </c>
      <c r="N16" s="125">
        <f>O16+P16</f>
        <v>3681915907</v>
      </c>
      <c r="O16" s="625">
        <f>R16+U16</f>
        <v>3681915907</v>
      </c>
      <c r="P16" s="625">
        <f>S16+V16</f>
        <v>0</v>
      </c>
      <c r="Q16" s="125">
        <f>R16+S16</f>
        <v>3681915907</v>
      </c>
      <c r="R16" s="126">
        <v>3681915907</v>
      </c>
      <c r="S16" s="126">
        <v>0</v>
      </c>
      <c r="T16" s="125">
        <f>U16+V16</f>
        <v>0</v>
      </c>
      <c r="U16" s="126">
        <v>0</v>
      </c>
      <c r="V16" s="126">
        <v>0</v>
      </c>
      <c r="W16" s="130"/>
      <c r="X16" s="130"/>
      <c r="Y16" s="130"/>
      <c r="Z16" s="130"/>
      <c r="AA16" s="130"/>
      <c r="AB16" s="130"/>
      <c r="AC16" s="130"/>
      <c r="AD16" s="130"/>
      <c r="AE16" s="130"/>
      <c r="AF16" s="125">
        <f>AG16+AH16</f>
        <v>5829915907</v>
      </c>
      <c r="AG16" s="625">
        <f>AJ16+AM16</f>
        <v>5829915907</v>
      </c>
      <c r="AH16" s="625">
        <f>AK16+AN16</f>
        <v>0</v>
      </c>
      <c r="AI16" s="130">
        <f>AJ16+AK16</f>
        <v>5829915907</v>
      </c>
      <c r="AJ16" s="130">
        <f>R16+2148000000</f>
        <v>5829915907</v>
      </c>
      <c r="AK16" s="130"/>
      <c r="AL16" s="130">
        <f t="shared" ref="AL16:AL17" si="29">AM16+AN16</f>
        <v>0</v>
      </c>
      <c r="AM16" s="130"/>
      <c r="AN16" s="130"/>
      <c r="AO16" s="626"/>
      <c r="AP16" s="595" t="s">
        <v>274</v>
      </c>
      <c r="AQ16" s="627" t="s">
        <v>330</v>
      </c>
      <c r="AT16" s="620">
        <f t="shared" si="4"/>
        <v>-174952913</v>
      </c>
      <c r="AU16" s="620">
        <f t="shared" si="5"/>
        <v>-174952913</v>
      </c>
      <c r="AV16" s="620">
        <f t="shared" si="6"/>
        <v>0</v>
      </c>
      <c r="AW16" s="620">
        <f t="shared" si="7"/>
        <v>-174952913</v>
      </c>
      <c r="AX16" s="620">
        <f t="shared" si="8"/>
        <v>-174952913</v>
      </c>
      <c r="AY16" s="620">
        <f t="shared" si="9"/>
        <v>0</v>
      </c>
      <c r="AZ16" s="620">
        <f t="shared" si="10"/>
        <v>0</v>
      </c>
      <c r="BA16" s="620">
        <f t="shared" si="11"/>
        <v>0</v>
      </c>
      <c r="BB16" s="620">
        <f t="shared" si="12"/>
        <v>0</v>
      </c>
    </row>
    <row r="17" spans="1:54" s="628" customFormat="1" ht="30" customHeight="1" x14ac:dyDescent="0.25">
      <c r="A17" s="147">
        <v>4</v>
      </c>
      <c r="B17" s="131" t="s">
        <v>331</v>
      </c>
      <c r="C17" s="120" t="s">
        <v>323</v>
      </c>
      <c r="D17" s="120" t="s">
        <v>274</v>
      </c>
      <c r="E17" s="125">
        <f t="shared" si="14"/>
        <v>14323695552</v>
      </c>
      <c r="F17" s="625">
        <f t="shared" si="15"/>
        <v>13324079552</v>
      </c>
      <c r="G17" s="625">
        <f t="shared" si="15"/>
        <v>999616000</v>
      </c>
      <c r="H17" s="125">
        <f t="shared" si="16"/>
        <v>11124080377</v>
      </c>
      <c r="I17" s="126">
        <v>10478464377</v>
      </c>
      <c r="J17" s="126">
        <v>645616000</v>
      </c>
      <c r="K17" s="125">
        <f t="shared" si="17"/>
        <v>3199615175</v>
      </c>
      <c r="L17" s="126">
        <v>2845615175</v>
      </c>
      <c r="M17" s="126">
        <v>354000000</v>
      </c>
      <c r="N17" s="125">
        <f t="shared" si="18"/>
        <v>8858800000</v>
      </c>
      <c r="O17" s="625">
        <v>7962384000</v>
      </c>
      <c r="P17" s="625">
        <v>896416000</v>
      </c>
      <c r="Q17" s="125">
        <f t="shared" si="20"/>
        <v>8608000000</v>
      </c>
      <c r="R17" s="126">
        <v>7962384000</v>
      </c>
      <c r="S17" s="126">
        <v>645616000</v>
      </c>
      <c r="T17" s="125">
        <f t="shared" si="21"/>
        <v>250800000</v>
      </c>
      <c r="U17" s="126">
        <f>O17-R17</f>
        <v>0</v>
      </c>
      <c r="V17" s="126">
        <f>P17-S17</f>
        <v>250800000</v>
      </c>
      <c r="W17" s="130"/>
      <c r="X17" s="130"/>
      <c r="Y17" s="130"/>
      <c r="Z17" s="130"/>
      <c r="AA17" s="130"/>
      <c r="AB17" s="130"/>
      <c r="AC17" s="130"/>
      <c r="AD17" s="130"/>
      <c r="AE17" s="130"/>
      <c r="AF17" s="125">
        <f t="shared" ref="AF17:AF18" si="30">AG17+AH17</f>
        <v>11374880377</v>
      </c>
      <c r="AG17" s="625">
        <f t="shared" ref="AG17:AH18" si="31">AJ17+AM17</f>
        <v>10478464377</v>
      </c>
      <c r="AH17" s="625">
        <f t="shared" si="31"/>
        <v>896416000</v>
      </c>
      <c r="AI17" s="130">
        <f t="shared" ref="AI17:AI18" si="32">AJ17+AK17</f>
        <v>11124080377</v>
      </c>
      <c r="AJ17" s="130">
        <v>10478464377</v>
      </c>
      <c r="AK17" s="130">
        <f>S17</f>
        <v>645616000</v>
      </c>
      <c r="AL17" s="125">
        <f t="shared" si="29"/>
        <v>250800000</v>
      </c>
      <c r="AM17" s="126">
        <v>0</v>
      </c>
      <c r="AN17" s="126">
        <v>250800000</v>
      </c>
      <c r="AO17" s="626"/>
      <c r="AP17" s="595" t="s">
        <v>274</v>
      </c>
      <c r="AT17" s="620">
        <f t="shared" si="4"/>
        <v>2948815175</v>
      </c>
      <c r="AU17" s="620">
        <f t="shared" si="5"/>
        <v>2845615175</v>
      </c>
      <c r="AV17" s="620">
        <f t="shared" si="6"/>
        <v>103200000</v>
      </c>
      <c r="AW17" s="620">
        <f t="shared" si="7"/>
        <v>0</v>
      </c>
      <c r="AX17" s="620">
        <f t="shared" si="8"/>
        <v>0</v>
      </c>
      <c r="AY17" s="620">
        <f t="shared" si="9"/>
        <v>0</v>
      </c>
      <c r="AZ17" s="620">
        <f t="shared" si="10"/>
        <v>2948815175</v>
      </c>
      <c r="BA17" s="620">
        <f t="shared" si="11"/>
        <v>2845615175</v>
      </c>
      <c r="BB17" s="620">
        <f t="shared" si="12"/>
        <v>103200000</v>
      </c>
    </row>
    <row r="18" spans="1:54" s="628" customFormat="1" ht="30" customHeight="1" x14ac:dyDescent="0.25">
      <c r="A18" s="147">
        <v>5</v>
      </c>
      <c r="B18" s="131" t="s">
        <v>332</v>
      </c>
      <c r="C18" s="131" t="s">
        <v>333</v>
      </c>
      <c r="D18" s="131" t="s">
        <v>274</v>
      </c>
      <c r="E18" s="125">
        <f t="shared" si="14"/>
        <v>889429362</v>
      </c>
      <c r="F18" s="625">
        <f t="shared" si="15"/>
        <v>889429362</v>
      </c>
      <c r="G18" s="625">
        <f t="shared" si="15"/>
        <v>0</v>
      </c>
      <c r="H18" s="125">
        <f t="shared" si="16"/>
        <v>889429362</v>
      </c>
      <c r="I18" s="125">
        <f>1846000000-956570638</f>
        <v>889429362</v>
      </c>
      <c r="J18" s="126">
        <v>0</v>
      </c>
      <c r="K18" s="125">
        <f t="shared" si="17"/>
        <v>0</v>
      </c>
      <c r="L18" s="126">
        <v>0</v>
      </c>
      <c r="M18" s="126">
        <v>0</v>
      </c>
      <c r="N18" s="125">
        <f t="shared" si="18"/>
        <v>889429000</v>
      </c>
      <c r="O18" s="625">
        <f t="shared" si="19"/>
        <v>889429000</v>
      </c>
      <c r="P18" s="625">
        <f t="shared" si="19"/>
        <v>0</v>
      </c>
      <c r="Q18" s="125">
        <f t="shared" si="20"/>
        <v>889429000</v>
      </c>
      <c r="R18" s="126">
        <f>538978000+350451000</f>
        <v>889429000</v>
      </c>
      <c r="S18" s="126">
        <v>0</v>
      </c>
      <c r="T18" s="125">
        <f t="shared" si="21"/>
        <v>0</v>
      </c>
      <c r="U18" s="126">
        <v>0</v>
      </c>
      <c r="V18" s="126">
        <v>0</v>
      </c>
      <c r="W18" s="130"/>
      <c r="X18" s="130"/>
      <c r="Y18" s="130"/>
      <c r="Z18" s="130"/>
      <c r="AA18" s="130"/>
      <c r="AB18" s="130"/>
      <c r="AC18" s="130"/>
      <c r="AD18" s="130"/>
      <c r="AE18" s="130"/>
      <c r="AF18" s="125">
        <f t="shared" si="30"/>
        <v>1801000000</v>
      </c>
      <c r="AG18" s="625">
        <f t="shared" si="31"/>
        <v>1801000000</v>
      </c>
      <c r="AH18" s="625">
        <f t="shared" si="31"/>
        <v>0</v>
      </c>
      <c r="AI18" s="130">
        <f t="shared" si="32"/>
        <v>1801000000</v>
      </c>
      <c r="AJ18" s="130">
        <f>1846000000-45000000</f>
        <v>1801000000</v>
      </c>
      <c r="AK18" s="130"/>
      <c r="AL18" s="130">
        <f>AM18+AN18</f>
        <v>0</v>
      </c>
      <c r="AM18" s="130"/>
      <c r="AN18" s="130"/>
      <c r="AO18" s="626"/>
      <c r="AP18" s="595" t="s">
        <v>274</v>
      </c>
      <c r="AT18" s="620">
        <f t="shared" si="4"/>
        <v>-911570638</v>
      </c>
      <c r="AU18" s="620">
        <f t="shared" si="5"/>
        <v>-911570638</v>
      </c>
      <c r="AV18" s="620">
        <f t="shared" si="6"/>
        <v>0</v>
      </c>
      <c r="AW18" s="620">
        <f t="shared" si="7"/>
        <v>-911570638</v>
      </c>
      <c r="AX18" s="620">
        <f t="shared" si="8"/>
        <v>-911570638</v>
      </c>
      <c r="AY18" s="620">
        <f t="shared" si="9"/>
        <v>0</v>
      </c>
      <c r="AZ18" s="620">
        <f t="shared" si="10"/>
        <v>0</v>
      </c>
      <c r="BA18" s="620">
        <f t="shared" si="11"/>
        <v>0</v>
      </c>
      <c r="BB18" s="620">
        <f t="shared" si="12"/>
        <v>0</v>
      </c>
    </row>
    <row r="19" spans="1:54" s="628" customFormat="1" ht="45" x14ac:dyDescent="0.25">
      <c r="A19" s="147">
        <v>6</v>
      </c>
      <c r="B19" s="131" t="s">
        <v>253</v>
      </c>
      <c r="C19" s="131"/>
      <c r="D19" s="131"/>
      <c r="E19" s="125">
        <f t="shared" si="14"/>
        <v>30075891</v>
      </c>
      <c r="F19" s="625">
        <f t="shared" si="15"/>
        <v>30075891</v>
      </c>
      <c r="G19" s="625">
        <f t="shared" si="15"/>
        <v>0</v>
      </c>
      <c r="H19" s="125"/>
      <c r="I19" s="126"/>
      <c r="J19" s="126"/>
      <c r="K19" s="125">
        <f t="shared" si="17"/>
        <v>30075891</v>
      </c>
      <c r="L19" s="126">
        <v>30075891</v>
      </c>
      <c r="M19" s="126"/>
      <c r="N19" s="125"/>
      <c r="O19" s="625"/>
      <c r="P19" s="625"/>
      <c r="Q19" s="125"/>
      <c r="R19" s="126"/>
      <c r="S19" s="126"/>
      <c r="T19" s="125"/>
      <c r="U19" s="126"/>
      <c r="V19" s="126"/>
      <c r="W19" s="125">
        <f t="shared" ref="W19" si="33">X19+Y19</f>
        <v>30075891</v>
      </c>
      <c r="X19" s="625">
        <f t="shared" ref="X19:Y19" si="34">AA19+AD19</f>
        <v>30075891</v>
      </c>
      <c r="Y19" s="625">
        <f t="shared" si="34"/>
        <v>0</v>
      </c>
      <c r="Z19" s="125"/>
      <c r="AA19" s="126"/>
      <c r="AB19" s="126"/>
      <c r="AC19" s="125">
        <f t="shared" ref="AC19" si="35">AD19+AE19</f>
        <v>30075891</v>
      </c>
      <c r="AD19" s="126">
        <v>30075891</v>
      </c>
      <c r="AE19" s="126"/>
      <c r="AF19" s="125">
        <f t="shared" ref="AF19" si="36">AG19+AH19</f>
        <v>0</v>
      </c>
      <c r="AG19" s="625">
        <f t="shared" ref="AG19:AH19" si="37">AJ19+AM19</f>
        <v>0</v>
      </c>
      <c r="AH19" s="625">
        <f t="shared" si="37"/>
        <v>0</v>
      </c>
      <c r="AI19" s="130">
        <f t="shared" ref="AI19" si="38">AJ19+AK19</f>
        <v>0</v>
      </c>
      <c r="AJ19" s="130"/>
      <c r="AK19" s="130"/>
      <c r="AL19" s="130">
        <f t="shared" ref="AL19" si="39">AM19+AN19</f>
        <v>0</v>
      </c>
      <c r="AM19" s="130"/>
      <c r="AN19" s="130"/>
      <c r="AO19" s="626"/>
      <c r="AP19" s="595"/>
      <c r="AT19" s="620">
        <f t="shared" si="4"/>
        <v>30075891</v>
      </c>
      <c r="AU19" s="620">
        <f t="shared" si="5"/>
        <v>30075891</v>
      </c>
      <c r="AV19" s="620">
        <f t="shared" si="6"/>
        <v>0</v>
      </c>
      <c r="AW19" s="620">
        <f t="shared" si="7"/>
        <v>0</v>
      </c>
      <c r="AX19" s="620">
        <f t="shared" si="8"/>
        <v>0</v>
      </c>
      <c r="AY19" s="620">
        <f t="shared" si="9"/>
        <v>0</v>
      </c>
      <c r="AZ19" s="620">
        <f t="shared" si="10"/>
        <v>30075891</v>
      </c>
      <c r="BA19" s="620">
        <f t="shared" si="11"/>
        <v>30075891</v>
      </c>
      <c r="BB19" s="620">
        <f t="shared" si="12"/>
        <v>0</v>
      </c>
    </row>
    <row r="20" spans="1:54" s="583" customFormat="1" ht="39.75" customHeight="1" x14ac:dyDescent="0.25">
      <c r="A20" s="148" t="s">
        <v>7</v>
      </c>
      <c r="B20" s="108" t="s">
        <v>275</v>
      </c>
      <c r="C20" s="108"/>
      <c r="D20" s="108"/>
      <c r="E20" s="113">
        <f t="shared" ref="E20:AN20" si="40">E21+E25</f>
        <v>19080004122</v>
      </c>
      <c r="F20" s="113">
        <f t="shared" si="40"/>
        <v>17498704122</v>
      </c>
      <c r="G20" s="113">
        <f t="shared" si="40"/>
        <v>1581300000</v>
      </c>
      <c r="H20" s="113">
        <f t="shared" si="40"/>
        <v>2329929190</v>
      </c>
      <c r="I20" s="113">
        <f t="shared" si="40"/>
        <v>2317929190</v>
      </c>
      <c r="J20" s="113">
        <f t="shared" si="40"/>
        <v>12000000</v>
      </c>
      <c r="K20" s="113">
        <f t="shared" si="40"/>
        <v>16750074932</v>
      </c>
      <c r="L20" s="113">
        <f t="shared" si="40"/>
        <v>15180774932</v>
      </c>
      <c r="M20" s="113">
        <f t="shared" si="40"/>
        <v>1569300000</v>
      </c>
      <c r="N20" s="113">
        <f t="shared" si="40"/>
        <v>14533544046</v>
      </c>
      <c r="O20" s="113">
        <f t="shared" si="40"/>
        <v>13168144046</v>
      </c>
      <c r="P20" s="113">
        <f t="shared" si="40"/>
        <v>1365400000</v>
      </c>
      <c r="Q20" s="113">
        <f t="shared" si="40"/>
        <v>1537772217</v>
      </c>
      <c r="R20" s="113">
        <f t="shared" si="40"/>
        <v>1525772217</v>
      </c>
      <c r="S20" s="113">
        <f t="shared" si="40"/>
        <v>12000000</v>
      </c>
      <c r="T20" s="113">
        <f t="shared" si="40"/>
        <v>12995771829</v>
      </c>
      <c r="U20" s="113">
        <f t="shared" si="40"/>
        <v>11642371829</v>
      </c>
      <c r="V20" s="113">
        <f t="shared" si="40"/>
        <v>1353400000</v>
      </c>
      <c r="W20" s="113">
        <f t="shared" si="40"/>
        <v>416250222.99999994</v>
      </c>
      <c r="X20" s="113">
        <f t="shared" si="40"/>
        <v>416250222.99999994</v>
      </c>
      <c r="Y20" s="113">
        <f t="shared" si="40"/>
        <v>0</v>
      </c>
      <c r="Z20" s="113">
        <f t="shared" si="40"/>
        <v>362578029.99999994</v>
      </c>
      <c r="AA20" s="113">
        <f t="shared" si="40"/>
        <v>362578029.99999994</v>
      </c>
      <c r="AB20" s="113">
        <f t="shared" si="40"/>
        <v>0</v>
      </c>
      <c r="AC20" s="113">
        <f t="shared" si="40"/>
        <v>53672193</v>
      </c>
      <c r="AD20" s="113">
        <f t="shared" si="40"/>
        <v>53672193</v>
      </c>
      <c r="AE20" s="113">
        <f t="shared" si="40"/>
        <v>0</v>
      </c>
      <c r="AF20" s="113">
        <f t="shared" si="40"/>
        <v>17979314899</v>
      </c>
      <c r="AG20" s="113">
        <f t="shared" si="40"/>
        <v>16449914899</v>
      </c>
      <c r="AH20" s="113">
        <f t="shared" si="40"/>
        <v>1529400000</v>
      </c>
      <c r="AI20" s="113">
        <f t="shared" si="40"/>
        <v>1967351160</v>
      </c>
      <c r="AJ20" s="113">
        <f t="shared" si="40"/>
        <v>1955351160</v>
      </c>
      <c r="AK20" s="113">
        <f t="shared" si="40"/>
        <v>12000000</v>
      </c>
      <c r="AL20" s="113">
        <f t="shared" si="40"/>
        <v>16011963739</v>
      </c>
      <c r="AM20" s="113">
        <f t="shared" si="40"/>
        <v>14494563739</v>
      </c>
      <c r="AN20" s="113">
        <f t="shared" si="40"/>
        <v>1517400000</v>
      </c>
      <c r="AO20" s="630"/>
      <c r="AP20" s="586"/>
      <c r="AT20" s="620">
        <f t="shared" si="4"/>
        <v>1100689223</v>
      </c>
      <c r="AU20" s="620">
        <f t="shared" si="5"/>
        <v>1048789223</v>
      </c>
      <c r="AV20" s="620">
        <f t="shared" si="6"/>
        <v>51900000</v>
      </c>
      <c r="AW20" s="620">
        <f t="shared" si="7"/>
        <v>362578030</v>
      </c>
      <c r="AX20" s="620">
        <f t="shared" si="8"/>
        <v>362578030</v>
      </c>
      <c r="AY20" s="620">
        <f t="shared" si="9"/>
        <v>0</v>
      </c>
      <c r="AZ20" s="620">
        <f t="shared" si="10"/>
        <v>738111193</v>
      </c>
      <c r="BA20" s="620">
        <f t="shared" si="11"/>
        <v>686211193</v>
      </c>
      <c r="BB20" s="620">
        <f t="shared" si="12"/>
        <v>51900000</v>
      </c>
    </row>
    <row r="21" spans="1:54" s="633" customFormat="1" ht="58.5" customHeight="1" x14ac:dyDescent="0.25">
      <c r="A21" s="150" t="s">
        <v>23</v>
      </c>
      <c r="B21" s="138" t="s">
        <v>276</v>
      </c>
      <c r="C21" s="138" t="s">
        <v>334</v>
      </c>
      <c r="D21" s="138"/>
      <c r="E21" s="142">
        <f>SUM(E22:E24)</f>
        <v>10983900000</v>
      </c>
      <c r="F21" s="142">
        <f t="shared" ref="F21:AN21" si="41">SUM(F22:F24)</f>
        <v>9960000000</v>
      </c>
      <c r="G21" s="142">
        <f t="shared" si="41"/>
        <v>1023900000</v>
      </c>
      <c r="H21" s="142">
        <f t="shared" si="41"/>
        <v>369500000</v>
      </c>
      <c r="I21" s="142">
        <f t="shared" si="41"/>
        <v>357500000</v>
      </c>
      <c r="J21" s="142">
        <f t="shared" si="41"/>
        <v>12000000</v>
      </c>
      <c r="K21" s="142">
        <f t="shared" si="41"/>
        <v>10614400000</v>
      </c>
      <c r="L21" s="142">
        <f t="shared" si="41"/>
        <v>9602500000</v>
      </c>
      <c r="M21" s="142">
        <f t="shared" si="41"/>
        <v>1011900000</v>
      </c>
      <c r="N21" s="142">
        <f t="shared" si="41"/>
        <v>9708000000</v>
      </c>
      <c r="O21" s="142">
        <f t="shared" si="41"/>
        <v>8800000000</v>
      </c>
      <c r="P21" s="142">
        <f t="shared" si="41"/>
        <v>908000000</v>
      </c>
      <c r="Q21" s="142">
        <f t="shared" si="41"/>
        <v>369500000</v>
      </c>
      <c r="R21" s="142">
        <f t="shared" si="41"/>
        <v>357500000</v>
      </c>
      <c r="S21" s="142">
        <f t="shared" si="41"/>
        <v>12000000</v>
      </c>
      <c r="T21" s="142">
        <f t="shared" si="41"/>
        <v>9338500000</v>
      </c>
      <c r="U21" s="142">
        <f t="shared" si="41"/>
        <v>8442500000</v>
      </c>
      <c r="V21" s="142">
        <f t="shared" si="41"/>
        <v>896000000</v>
      </c>
      <c r="W21" s="142">
        <f t="shared" si="41"/>
        <v>0</v>
      </c>
      <c r="X21" s="142">
        <f t="shared" si="41"/>
        <v>0</v>
      </c>
      <c r="Y21" s="142">
        <f t="shared" si="41"/>
        <v>0</v>
      </c>
      <c r="Z21" s="142">
        <f t="shared" si="41"/>
        <v>0</v>
      </c>
      <c r="AA21" s="142">
        <f t="shared" si="41"/>
        <v>0</v>
      </c>
      <c r="AB21" s="142">
        <f t="shared" si="41"/>
        <v>0</v>
      </c>
      <c r="AC21" s="142">
        <f t="shared" si="41"/>
        <v>0</v>
      </c>
      <c r="AD21" s="142">
        <f t="shared" si="41"/>
        <v>0</v>
      </c>
      <c r="AE21" s="142">
        <f t="shared" si="41"/>
        <v>0</v>
      </c>
      <c r="AF21" s="142">
        <f t="shared" si="41"/>
        <v>10412000000</v>
      </c>
      <c r="AG21" s="142">
        <f t="shared" si="41"/>
        <v>9440000000</v>
      </c>
      <c r="AH21" s="142">
        <f t="shared" si="41"/>
        <v>972000000</v>
      </c>
      <c r="AI21" s="142">
        <f t="shared" si="41"/>
        <v>369500000</v>
      </c>
      <c r="AJ21" s="142">
        <f t="shared" si="41"/>
        <v>357500000</v>
      </c>
      <c r="AK21" s="142">
        <f t="shared" si="41"/>
        <v>12000000</v>
      </c>
      <c r="AL21" s="142">
        <f t="shared" si="41"/>
        <v>10042500000</v>
      </c>
      <c r="AM21" s="142">
        <f t="shared" si="41"/>
        <v>9082500000</v>
      </c>
      <c r="AN21" s="142">
        <f t="shared" si="41"/>
        <v>960000000</v>
      </c>
      <c r="AO21" s="631"/>
      <c r="AP21" s="632"/>
      <c r="AT21" s="620">
        <f t="shared" si="4"/>
        <v>571900000</v>
      </c>
      <c r="AU21" s="620">
        <f t="shared" si="5"/>
        <v>520000000</v>
      </c>
      <c r="AV21" s="620">
        <f t="shared" si="6"/>
        <v>51900000</v>
      </c>
      <c r="AW21" s="620">
        <f t="shared" si="7"/>
        <v>0</v>
      </c>
      <c r="AX21" s="620">
        <f t="shared" si="8"/>
        <v>0</v>
      </c>
      <c r="AY21" s="620">
        <f t="shared" si="9"/>
        <v>0</v>
      </c>
      <c r="AZ21" s="620">
        <f t="shared" si="10"/>
        <v>571900000</v>
      </c>
      <c r="BA21" s="620">
        <f t="shared" si="11"/>
        <v>520000000</v>
      </c>
      <c r="BB21" s="620">
        <f t="shared" si="12"/>
        <v>51900000</v>
      </c>
    </row>
    <row r="22" spans="1:54" s="634" customFormat="1" ht="42.75" customHeight="1" x14ac:dyDescent="0.25">
      <c r="A22" s="147">
        <v>1</v>
      </c>
      <c r="B22" s="131" t="s">
        <v>335</v>
      </c>
      <c r="C22" s="131" t="s">
        <v>333</v>
      </c>
      <c r="D22" s="131" t="s">
        <v>274</v>
      </c>
      <c r="E22" s="125">
        <f t="shared" ref="E22:E24" si="42">F22+G22</f>
        <v>4228000000</v>
      </c>
      <c r="F22" s="625">
        <f t="shared" ref="F22:G24" si="43">I22+L22</f>
        <v>3840000000</v>
      </c>
      <c r="G22" s="625">
        <f t="shared" si="43"/>
        <v>388000000</v>
      </c>
      <c r="H22" s="125">
        <f t="shared" ref="H22:H57" si="44">I22+J22</f>
        <v>49000000</v>
      </c>
      <c r="I22" s="126">
        <v>45000000</v>
      </c>
      <c r="J22" s="126">
        <v>4000000</v>
      </c>
      <c r="K22" s="125">
        <f t="shared" ref="K22:K24" si="45">L22+M22</f>
        <v>4179000000</v>
      </c>
      <c r="L22" s="127">
        <f>3635000000+160000000</f>
        <v>3795000000</v>
      </c>
      <c r="M22" s="127">
        <f>368000000+16000000</f>
        <v>384000000</v>
      </c>
      <c r="N22" s="125">
        <f>O22+P22</f>
        <v>3832000000</v>
      </c>
      <c r="O22" s="625">
        <f t="shared" ref="O22:P24" si="46">R22+U22</f>
        <v>3480000000</v>
      </c>
      <c r="P22" s="625">
        <f t="shared" si="46"/>
        <v>352000000</v>
      </c>
      <c r="Q22" s="125">
        <f t="shared" ref="Q22" si="47">R22+S22</f>
        <v>49000000</v>
      </c>
      <c r="R22" s="126">
        <v>45000000</v>
      </c>
      <c r="S22" s="126">
        <v>4000000</v>
      </c>
      <c r="T22" s="125">
        <f t="shared" ref="T22:T24" si="48">U22+V22</f>
        <v>3783000000</v>
      </c>
      <c r="U22" s="125">
        <v>3435000000</v>
      </c>
      <c r="V22" s="125">
        <v>348000000</v>
      </c>
      <c r="W22" s="130"/>
      <c r="X22" s="130"/>
      <c r="Y22" s="130"/>
      <c r="Z22" s="130"/>
      <c r="AA22" s="130"/>
      <c r="AB22" s="130"/>
      <c r="AC22" s="130"/>
      <c r="AD22" s="130"/>
      <c r="AE22" s="130"/>
      <c r="AF22" s="125">
        <f t="shared" ref="AF22" si="49">AG22+AH22</f>
        <v>4052000000</v>
      </c>
      <c r="AG22" s="625">
        <f t="shared" ref="AG22" si="50">AJ22+AM22</f>
        <v>3680000000</v>
      </c>
      <c r="AH22" s="625">
        <f t="shared" ref="AH22" si="51">AK22+AN22</f>
        <v>372000000</v>
      </c>
      <c r="AI22" s="125">
        <f t="shared" ref="AI22" si="52">AJ22+AK22</f>
        <v>49000000</v>
      </c>
      <c r="AJ22" s="126">
        <v>45000000</v>
      </c>
      <c r="AK22" s="126">
        <v>4000000</v>
      </c>
      <c r="AL22" s="125">
        <f t="shared" ref="AL22" si="53">AM22+AN22</f>
        <v>4003000000</v>
      </c>
      <c r="AM22" s="127">
        <f>3635000000+160000000-160000000</f>
        <v>3635000000</v>
      </c>
      <c r="AN22" s="127">
        <f>368000000+16000000-16000000</f>
        <v>368000000</v>
      </c>
      <c r="AO22" s="626"/>
      <c r="AP22" s="595" t="s">
        <v>274</v>
      </c>
      <c r="AT22" s="620">
        <f t="shared" si="4"/>
        <v>176000000</v>
      </c>
      <c r="AU22" s="620">
        <f t="shared" si="5"/>
        <v>160000000</v>
      </c>
      <c r="AV22" s="620">
        <f t="shared" si="6"/>
        <v>16000000</v>
      </c>
      <c r="AW22" s="620">
        <f t="shared" si="7"/>
        <v>0</v>
      </c>
      <c r="AX22" s="620">
        <f t="shared" si="8"/>
        <v>0</v>
      </c>
      <c r="AY22" s="620">
        <f t="shared" si="9"/>
        <v>0</v>
      </c>
      <c r="AZ22" s="620">
        <f t="shared" si="10"/>
        <v>176000000</v>
      </c>
      <c r="BA22" s="620">
        <f t="shared" si="11"/>
        <v>160000000</v>
      </c>
      <c r="BB22" s="620">
        <f t="shared" si="12"/>
        <v>16000000</v>
      </c>
    </row>
    <row r="23" spans="1:54" s="634" customFormat="1" ht="42.75" customHeight="1" x14ac:dyDescent="0.25">
      <c r="A23" s="147">
        <v>2</v>
      </c>
      <c r="B23" s="131" t="s">
        <v>336</v>
      </c>
      <c r="C23" s="131" t="s">
        <v>337</v>
      </c>
      <c r="D23" s="131" t="s">
        <v>274</v>
      </c>
      <c r="E23" s="125">
        <f t="shared" si="42"/>
        <v>1604000000</v>
      </c>
      <c r="F23" s="625">
        <f t="shared" si="43"/>
        <v>1440000000</v>
      </c>
      <c r="G23" s="625">
        <f t="shared" si="43"/>
        <v>164000000</v>
      </c>
      <c r="H23" s="125">
        <f t="shared" si="44"/>
        <v>2500000</v>
      </c>
      <c r="I23" s="126">
        <v>2500000</v>
      </c>
      <c r="J23" s="126">
        <v>0</v>
      </c>
      <c r="K23" s="125">
        <f t="shared" si="45"/>
        <v>1601500000</v>
      </c>
      <c r="L23" s="127">
        <v>1437500000</v>
      </c>
      <c r="M23" s="127">
        <v>164000000</v>
      </c>
      <c r="N23" s="125">
        <f>O23+P23</f>
        <v>1604000000</v>
      </c>
      <c r="O23" s="625">
        <f t="shared" si="46"/>
        <v>1440000000</v>
      </c>
      <c r="P23" s="625">
        <f t="shared" si="46"/>
        <v>164000000</v>
      </c>
      <c r="Q23" s="125">
        <f>R23+S23</f>
        <v>2500000</v>
      </c>
      <c r="R23" s="126">
        <v>2500000</v>
      </c>
      <c r="S23" s="126">
        <v>0</v>
      </c>
      <c r="T23" s="125">
        <f t="shared" si="48"/>
        <v>1601500000</v>
      </c>
      <c r="U23" s="127">
        <v>1437500000</v>
      </c>
      <c r="V23" s="127">
        <v>164000000</v>
      </c>
      <c r="W23" s="130"/>
      <c r="X23" s="130"/>
      <c r="Y23" s="130"/>
      <c r="Z23" s="130"/>
      <c r="AA23" s="130"/>
      <c r="AB23" s="130"/>
      <c r="AC23" s="130"/>
      <c r="AD23" s="130"/>
      <c r="AE23" s="130"/>
      <c r="AF23" s="125">
        <f t="shared" ref="AF23:AF24" si="54">AG23+AH23</f>
        <v>1604000000</v>
      </c>
      <c r="AG23" s="625">
        <f t="shared" ref="AG23:AG24" si="55">AJ23+AM23</f>
        <v>1440000000</v>
      </c>
      <c r="AH23" s="625">
        <f t="shared" ref="AH23:AH24" si="56">AK23+AN23</f>
        <v>164000000</v>
      </c>
      <c r="AI23" s="125">
        <f t="shared" ref="AI23:AI24" si="57">AJ23+AK23</f>
        <v>2500000</v>
      </c>
      <c r="AJ23" s="126">
        <v>2500000</v>
      </c>
      <c r="AK23" s="126">
        <v>0</v>
      </c>
      <c r="AL23" s="125">
        <f t="shared" ref="AL23:AL24" si="58">AM23+AN23</f>
        <v>1601500000</v>
      </c>
      <c r="AM23" s="127">
        <v>1437500000</v>
      </c>
      <c r="AN23" s="127">
        <v>164000000</v>
      </c>
      <c r="AO23" s="626"/>
      <c r="AP23" s="595" t="s">
        <v>274</v>
      </c>
      <c r="AT23" s="620">
        <f t="shared" si="4"/>
        <v>0</v>
      </c>
      <c r="AU23" s="620">
        <f t="shared" si="5"/>
        <v>0</v>
      </c>
      <c r="AV23" s="620">
        <f t="shared" si="6"/>
        <v>0</v>
      </c>
      <c r="AW23" s="620">
        <f t="shared" si="7"/>
        <v>0</v>
      </c>
      <c r="AX23" s="620">
        <f t="shared" si="8"/>
        <v>0</v>
      </c>
      <c r="AY23" s="620">
        <f t="shared" si="9"/>
        <v>0</v>
      </c>
      <c r="AZ23" s="620">
        <f t="shared" si="10"/>
        <v>0</v>
      </c>
      <c r="BA23" s="620">
        <f t="shared" si="11"/>
        <v>0</v>
      </c>
      <c r="BB23" s="620">
        <f t="shared" si="12"/>
        <v>0</v>
      </c>
    </row>
    <row r="24" spans="1:54" s="634" customFormat="1" ht="42.75" customHeight="1" x14ac:dyDescent="0.25">
      <c r="A24" s="147">
        <v>3</v>
      </c>
      <c r="B24" s="131" t="s">
        <v>338</v>
      </c>
      <c r="C24" s="120" t="s">
        <v>339</v>
      </c>
      <c r="D24" s="120" t="s">
        <v>274</v>
      </c>
      <c r="E24" s="125">
        <f t="shared" si="42"/>
        <v>5151900000</v>
      </c>
      <c r="F24" s="625">
        <f t="shared" si="43"/>
        <v>4680000000</v>
      </c>
      <c r="G24" s="625">
        <f t="shared" si="43"/>
        <v>471900000</v>
      </c>
      <c r="H24" s="125">
        <f t="shared" si="44"/>
        <v>318000000</v>
      </c>
      <c r="I24" s="126">
        <v>310000000</v>
      </c>
      <c r="J24" s="126">
        <v>8000000</v>
      </c>
      <c r="K24" s="125">
        <f t="shared" si="45"/>
        <v>4833900000</v>
      </c>
      <c r="L24" s="127">
        <f>4010000000+360000000</f>
        <v>4370000000</v>
      </c>
      <c r="M24" s="127">
        <f>428000000-380500000+416500000-100000</f>
        <v>463900000</v>
      </c>
      <c r="N24" s="125">
        <f>O24+P24</f>
        <v>4272000000</v>
      </c>
      <c r="O24" s="625">
        <f t="shared" si="46"/>
        <v>3880000000</v>
      </c>
      <c r="P24" s="625">
        <f t="shared" si="46"/>
        <v>392000000</v>
      </c>
      <c r="Q24" s="125">
        <f t="shared" ref="Q24" si="59">R24+S24</f>
        <v>318000000</v>
      </c>
      <c r="R24" s="126">
        <v>310000000</v>
      </c>
      <c r="S24" s="126">
        <v>8000000</v>
      </c>
      <c r="T24" s="125">
        <f t="shared" si="48"/>
        <v>3954000000</v>
      </c>
      <c r="U24" s="126">
        <f>3530000000+40000000</f>
        <v>3570000000</v>
      </c>
      <c r="V24" s="126">
        <f>4000000+380000000</f>
        <v>384000000</v>
      </c>
      <c r="W24" s="130"/>
      <c r="X24" s="130"/>
      <c r="Y24" s="130"/>
      <c r="Z24" s="130"/>
      <c r="AA24" s="130"/>
      <c r="AB24" s="130"/>
      <c r="AC24" s="130"/>
      <c r="AD24" s="130"/>
      <c r="AE24" s="130"/>
      <c r="AF24" s="125">
        <f t="shared" si="54"/>
        <v>4756000000</v>
      </c>
      <c r="AG24" s="625">
        <f t="shared" si="55"/>
        <v>4320000000</v>
      </c>
      <c r="AH24" s="625">
        <f t="shared" si="56"/>
        <v>436000000</v>
      </c>
      <c r="AI24" s="125">
        <f t="shared" si="57"/>
        <v>318000000</v>
      </c>
      <c r="AJ24" s="126">
        <v>310000000</v>
      </c>
      <c r="AK24" s="126">
        <v>8000000</v>
      </c>
      <c r="AL24" s="125">
        <f t="shared" si="58"/>
        <v>4438000000</v>
      </c>
      <c r="AM24" s="127">
        <f>4010000000+360000000-360000000</f>
        <v>4010000000</v>
      </c>
      <c r="AN24" s="127">
        <f>428000000-380500000+416500000-100000-35900000</f>
        <v>428000000</v>
      </c>
      <c r="AO24" s="626"/>
      <c r="AP24" s="595" t="s">
        <v>274</v>
      </c>
      <c r="AT24" s="620">
        <f t="shared" si="4"/>
        <v>395900000</v>
      </c>
      <c r="AU24" s="620">
        <f t="shared" si="5"/>
        <v>360000000</v>
      </c>
      <c r="AV24" s="620">
        <f t="shared" si="6"/>
        <v>35900000</v>
      </c>
      <c r="AW24" s="620">
        <f t="shared" si="7"/>
        <v>0</v>
      </c>
      <c r="AX24" s="620">
        <f t="shared" si="8"/>
        <v>0</v>
      </c>
      <c r="AY24" s="620">
        <f t="shared" si="9"/>
        <v>0</v>
      </c>
      <c r="AZ24" s="620">
        <f t="shared" si="10"/>
        <v>395900000</v>
      </c>
      <c r="BA24" s="620">
        <f t="shared" si="11"/>
        <v>360000000</v>
      </c>
      <c r="BB24" s="620">
        <f t="shared" si="12"/>
        <v>35900000</v>
      </c>
    </row>
    <row r="25" spans="1:54" s="633" customFormat="1" ht="46.5" customHeight="1" x14ac:dyDescent="0.25">
      <c r="A25" s="150" t="s">
        <v>27</v>
      </c>
      <c r="B25" s="138" t="s">
        <v>277</v>
      </c>
      <c r="C25" s="138" t="s">
        <v>196</v>
      </c>
      <c r="D25" s="138"/>
      <c r="E25" s="142">
        <f t="shared" ref="E25:AN25" si="60">SUM(E26:E42)</f>
        <v>8096104122</v>
      </c>
      <c r="F25" s="142">
        <f t="shared" si="60"/>
        <v>7538704122</v>
      </c>
      <c r="G25" s="142">
        <f t="shared" si="60"/>
        <v>557400000</v>
      </c>
      <c r="H25" s="142">
        <f t="shared" si="60"/>
        <v>1960429190</v>
      </c>
      <c r="I25" s="142">
        <f t="shared" si="60"/>
        <v>1960429190</v>
      </c>
      <c r="J25" s="142">
        <f t="shared" si="60"/>
        <v>0</v>
      </c>
      <c r="K25" s="142">
        <f t="shared" si="60"/>
        <v>6135674932</v>
      </c>
      <c r="L25" s="142">
        <f t="shared" si="60"/>
        <v>5578274932</v>
      </c>
      <c r="M25" s="142">
        <f t="shared" si="60"/>
        <v>557400000</v>
      </c>
      <c r="N25" s="142">
        <f t="shared" si="60"/>
        <v>4825544046</v>
      </c>
      <c r="O25" s="142">
        <f t="shared" si="60"/>
        <v>4368144046</v>
      </c>
      <c r="P25" s="142">
        <f t="shared" si="60"/>
        <v>457400000</v>
      </c>
      <c r="Q25" s="142">
        <f t="shared" si="60"/>
        <v>1168272217</v>
      </c>
      <c r="R25" s="142">
        <f t="shared" si="60"/>
        <v>1168272217</v>
      </c>
      <c r="S25" s="142">
        <f t="shared" si="60"/>
        <v>0</v>
      </c>
      <c r="T25" s="142">
        <f t="shared" si="60"/>
        <v>3657271829</v>
      </c>
      <c r="U25" s="142">
        <f t="shared" si="60"/>
        <v>3199871829</v>
      </c>
      <c r="V25" s="142">
        <f t="shared" si="60"/>
        <v>457400000</v>
      </c>
      <c r="W25" s="142">
        <f t="shared" si="60"/>
        <v>416250222.99999994</v>
      </c>
      <c r="X25" s="142">
        <f t="shared" si="60"/>
        <v>416250222.99999994</v>
      </c>
      <c r="Y25" s="142">
        <f t="shared" si="60"/>
        <v>0</v>
      </c>
      <c r="Z25" s="142">
        <f t="shared" si="60"/>
        <v>362578029.99999994</v>
      </c>
      <c r="AA25" s="142">
        <f t="shared" si="60"/>
        <v>362578029.99999994</v>
      </c>
      <c r="AB25" s="142">
        <f t="shared" si="60"/>
        <v>0</v>
      </c>
      <c r="AC25" s="142">
        <f t="shared" si="60"/>
        <v>53672193</v>
      </c>
      <c r="AD25" s="142">
        <f t="shared" si="60"/>
        <v>53672193</v>
      </c>
      <c r="AE25" s="142">
        <f t="shared" si="60"/>
        <v>0</v>
      </c>
      <c r="AF25" s="142">
        <f t="shared" si="60"/>
        <v>7567314899</v>
      </c>
      <c r="AG25" s="142">
        <f t="shared" si="60"/>
        <v>7009914899</v>
      </c>
      <c r="AH25" s="142">
        <f t="shared" si="60"/>
        <v>557400000</v>
      </c>
      <c r="AI25" s="142">
        <f t="shared" si="60"/>
        <v>1597851160</v>
      </c>
      <c r="AJ25" s="142">
        <f t="shared" si="60"/>
        <v>1597851160</v>
      </c>
      <c r="AK25" s="142">
        <f t="shared" si="60"/>
        <v>0</v>
      </c>
      <c r="AL25" s="142">
        <f t="shared" si="60"/>
        <v>5969463739</v>
      </c>
      <c r="AM25" s="142">
        <f t="shared" si="60"/>
        <v>5412063739</v>
      </c>
      <c r="AN25" s="142">
        <f t="shared" si="60"/>
        <v>557400000</v>
      </c>
      <c r="AO25" s="631"/>
      <c r="AP25" s="632"/>
      <c r="AT25" s="620">
        <f t="shared" si="4"/>
        <v>528789223</v>
      </c>
      <c r="AU25" s="620">
        <f t="shared" si="5"/>
        <v>528789223</v>
      </c>
      <c r="AV25" s="620">
        <f t="shared" si="6"/>
        <v>0</v>
      </c>
      <c r="AW25" s="620">
        <f t="shared" si="7"/>
        <v>362578030</v>
      </c>
      <c r="AX25" s="620">
        <f t="shared" si="8"/>
        <v>362578030</v>
      </c>
      <c r="AY25" s="620">
        <f t="shared" si="9"/>
        <v>0</v>
      </c>
      <c r="AZ25" s="620">
        <f t="shared" si="10"/>
        <v>166211193</v>
      </c>
      <c r="BA25" s="620">
        <f t="shared" si="11"/>
        <v>166211193</v>
      </c>
      <c r="BB25" s="620">
        <f t="shared" si="12"/>
        <v>0</v>
      </c>
    </row>
    <row r="26" spans="1:54" s="581" customFormat="1" ht="30" customHeight="1" x14ac:dyDescent="0.25">
      <c r="A26" s="147">
        <v>1</v>
      </c>
      <c r="B26" s="131" t="s">
        <v>340</v>
      </c>
      <c r="C26" s="120" t="s">
        <v>323</v>
      </c>
      <c r="D26" s="120" t="s">
        <v>273</v>
      </c>
      <c r="E26" s="125">
        <f t="shared" ref="E26:E42" si="61">F26+G26</f>
        <v>644102739</v>
      </c>
      <c r="F26" s="635">
        <f t="shared" ref="F26:G41" si="62">I26+L26</f>
        <v>534602739</v>
      </c>
      <c r="G26" s="635">
        <f t="shared" si="62"/>
        <v>109500000</v>
      </c>
      <c r="H26" s="125">
        <f t="shared" si="44"/>
        <v>132100000</v>
      </c>
      <c r="I26" s="130">
        <v>132100000</v>
      </c>
      <c r="J26" s="130">
        <v>0</v>
      </c>
      <c r="K26" s="125">
        <f t="shared" ref="K26:K42" si="63">L26+M26</f>
        <v>512002739</v>
      </c>
      <c r="L26" s="134">
        <v>402502739</v>
      </c>
      <c r="M26" s="134">
        <v>109500000</v>
      </c>
      <c r="N26" s="125">
        <f t="shared" ref="N26:N41" si="64">O26+P26</f>
        <v>644102739</v>
      </c>
      <c r="O26" s="625">
        <f t="shared" ref="O26:P41" si="65">R26+U26</f>
        <v>534602739</v>
      </c>
      <c r="P26" s="625">
        <f t="shared" si="65"/>
        <v>109500000</v>
      </c>
      <c r="Q26" s="125">
        <f t="shared" ref="Q26:Q41" si="66">R26+S26</f>
        <v>132100000</v>
      </c>
      <c r="R26" s="126">
        <v>132100000</v>
      </c>
      <c r="S26" s="126">
        <v>0</v>
      </c>
      <c r="T26" s="125">
        <f t="shared" ref="T26:T41" si="67">U26+V26</f>
        <v>512002739</v>
      </c>
      <c r="U26" s="126">
        <v>402502739</v>
      </c>
      <c r="V26" s="126">
        <v>109500000</v>
      </c>
      <c r="W26" s="130">
        <f>Z26+AC26</f>
        <v>0</v>
      </c>
      <c r="X26" s="130">
        <f>AA26+AD26</f>
        <v>0</v>
      </c>
      <c r="Y26" s="130">
        <f>AB26+AE26</f>
        <v>0</v>
      </c>
      <c r="Z26" s="130">
        <v>0</v>
      </c>
      <c r="AA26" s="130">
        <v>0</v>
      </c>
      <c r="AB26" s="130">
        <v>0</v>
      </c>
      <c r="AC26" s="130">
        <f>AD26+AE26</f>
        <v>0</v>
      </c>
      <c r="AD26" s="130">
        <f>L26-U26</f>
        <v>0</v>
      </c>
      <c r="AE26" s="130">
        <f>M26-V26</f>
        <v>0</v>
      </c>
      <c r="AF26" s="125">
        <f t="shared" ref="AF26:AF41" si="68">AG26+AH26</f>
        <v>644102739</v>
      </c>
      <c r="AG26" s="625">
        <f t="shared" ref="AG26:AG41" si="69">AJ26+AM26</f>
        <v>534602739</v>
      </c>
      <c r="AH26" s="625">
        <f t="shared" ref="AH26:AH41" si="70">AK26+AN26</f>
        <v>109500000</v>
      </c>
      <c r="AI26" s="125">
        <f t="shared" ref="AI26:AI38" si="71">AJ26+AK26</f>
        <v>132100000</v>
      </c>
      <c r="AJ26" s="126">
        <v>132100000</v>
      </c>
      <c r="AK26" s="126">
        <v>0</v>
      </c>
      <c r="AL26" s="125">
        <f t="shared" ref="AL26:AL41" si="72">AM26+AN26</f>
        <v>512002739</v>
      </c>
      <c r="AM26" s="126">
        <v>402502739</v>
      </c>
      <c r="AN26" s="126">
        <v>109500000</v>
      </c>
      <c r="AO26" s="626"/>
      <c r="AP26" s="595" t="s">
        <v>273</v>
      </c>
      <c r="AT26" s="620">
        <f t="shared" si="4"/>
        <v>0</v>
      </c>
      <c r="AU26" s="620">
        <f t="shared" si="5"/>
        <v>0</v>
      </c>
      <c r="AV26" s="620">
        <f t="shared" si="6"/>
        <v>0</v>
      </c>
      <c r="AW26" s="620">
        <f t="shared" si="7"/>
        <v>0</v>
      </c>
      <c r="AX26" s="620">
        <f t="shared" si="8"/>
        <v>0</v>
      </c>
      <c r="AY26" s="620">
        <f t="shared" si="9"/>
        <v>0</v>
      </c>
      <c r="AZ26" s="620">
        <f t="shared" si="10"/>
        <v>0</v>
      </c>
      <c r="BA26" s="620">
        <f t="shared" si="11"/>
        <v>0</v>
      </c>
      <c r="BB26" s="620">
        <f t="shared" si="12"/>
        <v>0</v>
      </c>
    </row>
    <row r="27" spans="1:54" s="581" customFormat="1" ht="30" customHeight="1" x14ac:dyDescent="0.25">
      <c r="A27" s="147">
        <v>2</v>
      </c>
      <c r="B27" s="120" t="s">
        <v>341</v>
      </c>
      <c r="C27" s="131" t="s">
        <v>333</v>
      </c>
      <c r="D27" s="131" t="s">
        <v>273</v>
      </c>
      <c r="E27" s="125">
        <f t="shared" si="61"/>
        <v>143100000</v>
      </c>
      <c r="F27" s="635">
        <f t="shared" si="62"/>
        <v>143100000</v>
      </c>
      <c r="G27" s="635">
        <f t="shared" si="62"/>
        <v>0</v>
      </c>
      <c r="H27" s="125">
        <f t="shared" si="44"/>
        <v>143100000</v>
      </c>
      <c r="I27" s="130">
        <v>143100000</v>
      </c>
      <c r="J27" s="130">
        <v>0</v>
      </c>
      <c r="K27" s="125">
        <f t="shared" si="63"/>
        <v>0</v>
      </c>
      <c r="L27" s="130">
        <v>0</v>
      </c>
      <c r="M27" s="130">
        <v>0</v>
      </c>
      <c r="N27" s="125">
        <f t="shared" si="64"/>
        <v>143100000</v>
      </c>
      <c r="O27" s="625">
        <f t="shared" si="65"/>
        <v>143100000</v>
      </c>
      <c r="P27" s="625">
        <f t="shared" si="65"/>
        <v>0</v>
      </c>
      <c r="Q27" s="125">
        <f t="shared" si="66"/>
        <v>143100000</v>
      </c>
      <c r="R27" s="126">
        <v>143100000</v>
      </c>
      <c r="S27" s="126">
        <v>0</v>
      </c>
      <c r="T27" s="125">
        <f t="shared" si="67"/>
        <v>0</v>
      </c>
      <c r="U27" s="126">
        <v>0</v>
      </c>
      <c r="V27" s="126">
        <v>0</v>
      </c>
      <c r="W27" s="130"/>
      <c r="X27" s="130"/>
      <c r="Y27" s="130"/>
      <c r="Z27" s="130"/>
      <c r="AA27" s="130"/>
      <c r="AB27" s="130"/>
      <c r="AC27" s="130"/>
      <c r="AD27" s="130"/>
      <c r="AE27" s="130"/>
      <c r="AF27" s="125">
        <f t="shared" si="68"/>
        <v>143100000</v>
      </c>
      <c r="AG27" s="625">
        <f t="shared" si="69"/>
        <v>143100000</v>
      </c>
      <c r="AH27" s="625">
        <f t="shared" si="70"/>
        <v>0</v>
      </c>
      <c r="AI27" s="125">
        <f t="shared" si="71"/>
        <v>143100000</v>
      </c>
      <c r="AJ27" s="126">
        <v>143100000</v>
      </c>
      <c r="AK27" s="126">
        <v>0</v>
      </c>
      <c r="AL27" s="125">
        <f t="shared" si="72"/>
        <v>0</v>
      </c>
      <c r="AM27" s="126">
        <v>0</v>
      </c>
      <c r="AN27" s="126">
        <v>0</v>
      </c>
      <c r="AO27" s="626"/>
      <c r="AP27" s="595" t="s">
        <v>273</v>
      </c>
      <c r="AT27" s="620">
        <f t="shared" si="4"/>
        <v>0</v>
      </c>
      <c r="AU27" s="620">
        <f t="shared" si="5"/>
        <v>0</v>
      </c>
      <c r="AV27" s="620">
        <f t="shared" si="6"/>
        <v>0</v>
      </c>
      <c r="AW27" s="620">
        <f t="shared" si="7"/>
        <v>0</v>
      </c>
      <c r="AX27" s="620">
        <f t="shared" si="8"/>
        <v>0</v>
      </c>
      <c r="AY27" s="620">
        <f t="shared" si="9"/>
        <v>0</v>
      </c>
      <c r="AZ27" s="620">
        <f t="shared" si="10"/>
        <v>0</v>
      </c>
      <c r="BA27" s="620">
        <f t="shared" si="11"/>
        <v>0</v>
      </c>
      <c r="BB27" s="620">
        <f t="shared" si="12"/>
        <v>0</v>
      </c>
    </row>
    <row r="28" spans="1:54" s="581" customFormat="1" ht="30" customHeight="1" x14ac:dyDescent="0.25">
      <c r="A28" s="147">
        <v>3</v>
      </c>
      <c r="B28" s="120" t="s">
        <v>342</v>
      </c>
      <c r="C28" s="131" t="s">
        <v>333</v>
      </c>
      <c r="D28" s="131" t="s">
        <v>273</v>
      </c>
      <c r="E28" s="125">
        <f t="shared" si="61"/>
        <v>54442503</v>
      </c>
      <c r="F28" s="635">
        <f t="shared" si="62"/>
        <v>54442503</v>
      </c>
      <c r="G28" s="635">
        <f t="shared" si="62"/>
        <v>0</v>
      </c>
      <c r="H28" s="125">
        <f t="shared" si="44"/>
        <v>54442503</v>
      </c>
      <c r="I28" s="130">
        <v>54442503</v>
      </c>
      <c r="J28" s="130">
        <v>0</v>
      </c>
      <c r="K28" s="125">
        <f t="shared" si="63"/>
        <v>0</v>
      </c>
      <c r="L28" s="130">
        <v>0</v>
      </c>
      <c r="M28" s="130">
        <v>0</v>
      </c>
      <c r="N28" s="125">
        <f t="shared" si="64"/>
        <v>54442503</v>
      </c>
      <c r="O28" s="625">
        <f t="shared" si="65"/>
        <v>54442503</v>
      </c>
      <c r="P28" s="625">
        <f t="shared" si="65"/>
        <v>0</v>
      </c>
      <c r="Q28" s="125">
        <f t="shared" si="66"/>
        <v>54442503</v>
      </c>
      <c r="R28" s="126">
        <v>54442503</v>
      </c>
      <c r="S28" s="126">
        <v>0</v>
      </c>
      <c r="T28" s="125">
        <f t="shared" si="67"/>
        <v>0</v>
      </c>
      <c r="U28" s="126">
        <v>0</v>
      </c>
      <c r="V28" s="126">
        <v>0</v>
      </c>
      <c r="W28" s="130"/>
      <c r="X28" s="130"/>
      <c r="Y28" s="130"/>
      <c r="Z28" s="130"/>
      <c r="AA28" s="130"/>
      <c r="AB28" s="130"/>
      <c r="AC28" s="130"/>
      <c r="AD28" s="130"/>
      <c r="AE28" s="130"/>
      <c r="AF28" s="125">
        <f t="shared" si="68"/>
        <v>54442503</v>
      </c>
      <c r="AG28" s="625">
        <f t="shared" si="69"/>
        <v>54442503</v>
      </c>
      <c r="AH28" s="625">
        <f t="shared" si="70"/>
        <v>0</v>
      </c>
      <c r="AI28" s="125">
        <f t="shared" si="71"/>
        <v>54442503</v>
      </c>
      <c r="AJ28" s="126">
        <v>54442503</v>
      </c>
      <c r="AK28" s="126">
        <v>0</v>
      </c>
      <c r="AL28" s="125">
        <f t="shared" si="72"/>
        <v>0</v>
      </c>
      <c r="AM28" s="126">
        <v>0</v>
      </c>
      <c r="AN28" s="126">
        <v>0</v>
      </c>
      <c r="AO28" s="626"/>
      <c r="AP28" s="595" t="s">
        <v>273</v>
      </c>
      <c r="AT28" s="620">
        <f t="shared" si="4"/>
        <v>0</v>
      </c>
      <c r="AU28" s="620">
        <f t="shared" si="5"/>
        <v>0</v>
      </c>
      <c r="AV28" s="620">
        <f t="shared" si="6"/>
        <v>0</v>
      </c>
      <c r="AW28" s="620">
        <f t="shared" si="7"/>
        <v>0</v>
      </c>
      <c r="AX28" s="620">
        <f t="shared" si="8"/>
        <v>0</v>
      </c>
      <c r="AY28" s="620">
        <f t="shared" si="9"/>
        <v>0</v>
      </c>
      <c r="AZ28" s="620">
        <f t="shared" si="10"/>
        <v>0</v>
      </c>
      <c r="BA28" s="620">
        <f t="shared" si="11"/>
        <v>0</v>
      </c>
      <c r="BB28" s="620">
        <f t="shared" si="12"/>
        <v>0</v>
      </c>
    </row>
    <row r="29" spans="1:54" s="581" customFormat="1" ht="30" customHeight="1" x14ac:dyDescent="0.25">
      <c r="A29" s="147">
        <v>4</v>
      </c>
      <c r="B29" s="120" t="s">
        <v>343</v>
      </c>
      <c r="C29" s="131" t="s">
        <v>337</v>
      </c>
      <c r="D29" s="131" t="s">
        <v>273</v>
      </c>
      <c r="E29" s="125">
        <f t="shared" si="61"/>
        <v>40901595</v>
      </c>
      <c r="F29" s="635">
        <f t="shared" si="62"/>
        <v>40901595</v>
      </c>
      <c r="G29" s="635">
        <f t="shared" si="62"/>
        <v>0</v>
      </c>
      <c r="H29" s="125">
        <f t="shared" si="44"/>
        <v>40901595</v>
      </c>
      <c r="I29" s="130">
        <v>40901595</v>
      </c>
      <c r="J29" s="130">
        <v>0</v>
      </c>
      <c r="K29" s="125">
        <f t="shared" si="63"/>
        <v>0</v>
      </c>
      <c r="L29" s="130">
        <v>0</v>
      </c>
      <c r="M29" s="130">
        <v>0</v>
      </c>
      <c r="N29" s="125">
        <f t="shared" si="64"/>
        <v>26064432</v>
      </c>
      <c r="O29" s="625">
        <f t="shared" si="65"/>
        <v>26064432</v>
      </c>
      <c r="P29" s="625">
        <f t="shared" si="65"/>
        <v>0</v>
      </c>
      <c r="Q29" s="125">
        <f t="shared" si="66"/>
        <v>26064432</v>
      </c>
      <c r="R29" s="126">
        <v>26064432</v>
      </c>
      <c r="S29" s="126">
        <v>0</v>
      </c>
      <c r="T29" s="125">
        <f t="shared" si="67"/>
        <v>0</v>
      </c>
      <c r="U29" s="126">
        <v>0</v>
      </c>
      <c r="V29" s="126">
        <v>0</v>
      </c>
      <c r="W29" s="125">
        <f t="shared" ref="W29:W32" si="73">X29+Y29</f>
        <v>14837163</v>
      </c>
      <c r="X29" s="625">
        <f t="shared" ref="X29:Y37" si="74">AA29+AD29</f>
        <v>14837163</v>
      </c>
      <c r="Y29" s="625">
        <f t="shared" si="74"/>
        <v>0</v>
      </c>
      <c r="Z29" s="130">
        <v>14837163</v>
      </c>
      <c r="AA29" s="130">
        <v>14837163</v>
      </c>
      <c r="AB29" s="130">
        <v>0</v>
      </c>
      <c r="AC29" s="130">
        <v>0</v>
      </c>
      <c r="AD29" s="130">
        <v>0</v>
      </c>
      <c r="AE29" s="130">
        <v>0</v>
      </c>
      <c r="AF29" s="125">
        <f t="shared" si="68"/>
        <v>26064432</v>
      </c>
      <c r="AG29" s="625">
        <f t="shared" si="69"/>
        <v>26064432</v>
      </c>
      <c r="AH29" s="625">
        <f t="shared" si="70"/>
        <v>0</v>
      </c>
      <c r="AI29" s="125">
        <f t="shared" si="71"/>
        <v>26064432</v>
      </c>
      <c r="AJ29" s="126">
        <v>26064432</v>
      </c>
      <c r="AK29" s="126">
        <v>0</v>
      </c>
      <c r="AL29" s="125">
        <f t="shared" si="72"/>
        <v>0</v>
      </c>
      <c r="AM29" s="126">
        <v>0</v>
      </c>
      <c r="AN29" s="126">
        <v>0</v>
      </c>
      <c r="AO29" s="626"/>
      <c r="AP29" s="595" t="s">
        <v>273</v>
      </c>
      <c r="AT29" s="620">
        <f t="shared" si="4"/>
        <v>14837163</v>
      </c>
      <c r="AU29" s="620">
        <f t="shared" si="5"/>
        <v>14837163</v>
      </c>
      <c r="AV29" s="620">
        <f t="shared" si="6"/>
        <v>0</v>
      </c>
      <c r="AW29" s="620">
        <f t="shared" si="7"/>
        <v>14837163</v>
      </c>
      <c r="AX29" s="620">
        <f t="shared" si="8"/>
        <v>14837163</v>
      </c>
      <c r="AY29" s="620">
        <f t="shared" si="9"/>
        <v>0</v>
      </c>
      <c r="AZ29" s="620">
        <f t="shared" si="10"/>
        <v>0</v>
      </c>
      <c r="BA29" s="620">
        <f t="shared" si="11"/>
        <v>0</v>
      </c>
      <c r="BB29" s="620">
        <f t="shared" si="12"/>
        <v>0</v>
      </c>
    </row>
    <row r="30" spans="1:54" s="581" customFormat="1" ht="30" customHeight="1" x14ac:dyDescent="0.25">
      <c r="A30" s="147">
        <v>5</v>
      </c>
      <c r="B30" s="120" t="s">
        <v>344</v>
      </c>
      <c r="C30" s="131" t="s">
        <v>337</v>
      </c>
      <c r="D30" s="131" t="s">
        <v>273</v>
      </c>
      <c r="E30" s="125">
        <f t="shared" si="61"/>
        <v>321374692</v>
      </c>
      <c r="F30" s="635">
        <f t="shared" si="62"/>
        <v>321374692</v>
      </c>
      <c r="G30" s="635">
        <f t="shared" si="62"/>
        <v>0</v>
      </c>
      <c r="H30" s="125">
        <f t="shared" si="44"/>
        <v>321374692</v>
      </c>
      <c r="I30" s="130">
        <v>321374692</v>
      </c>
      <c r="J30" s="130">
        <v>0</v>
      </c>
      <c r="K30" s="125">
        <f t="shared" si="63"/>
        <v>0</v>
      </c>
      <c r="L30" s="130">
        <v>0</v>
      </c>
      <c r="M30" s="130">
        <v>0</v>
      </c>
      <c r="N30" s="125">
        <f t="shared" si="64"/>
        <v>51973387</v>
      </c>
      <c r="O30" s="625">
        <f t="shared" si="65"/>
        <v>51973387</v>
      </c>
      <c r="P30" s="625">
        <f t="shared" si="65"/>
        <v>0</v>
      </c>
      <c r="Q30" s="125">
        <f t="shared" si="66"/>
        <v>51973387</v>
      </c>
      <c r="R30" s="126">
        <v>51973387</v>
      </c>
      <c r="S30" s="126">
        <v>0</v>
      </c>
      <c r="T30" s="125">
        <f t="shared" si="67"/>
        <v>0</v>
      </c>
      <c r="U30" s="126">
        <v>0</v>
      </c>
      <c r="V30" s="126">
        <v>0</v>
      </c>
      <c r="W30" s="125">
        <f t="shared" si="73"/>
        <v>269401305</v>
      </c>
      <c r="X30" s="625">
        <f t="shared" si="74"/>
        <v>269401305</v>
      </c>
      <c r="Y30" s="625">
        <f t="shared" si="74"/>
        <v>0</v>
      </c>
      <c r="Z30" s="130">
        <v>269401305</v>
      </c>
      <c r="AA30" s="130">
        <v>269401305</v>
      </c>
      <c r="AB30" s="130">
        <v>0</v>
      </c>
      <c r="AC30" s="130">
        <v>0</v>
      </c>
      <c r="AD30" s="130">
        <v>0</v>
      </c>
      <c r="AE30" s="130">
        <v>0</v>
      </c>
      <c r="AF30" s="125">
        <f t="shared" si="68"/>
        <v>51973387</v>
      </c>
      <c r="AG30" s="625">
        <f t="shared" si="69"/>
        <v>51973387</v>
      </c>
      <c r="AH30" s="625">
        <f t="shared" si="70"/>
        <v>0</v>
      </c>
      <c r="AI30" s="125">
        <f t="shared" si="71"/>
        <v>51973387</v>
      </c>
      <c r="AJ30" s="126">
        <v>51973387</v>
      </c>
      <c r="AK30" s="126">
        <v>0</v>
      </c>
      <c r="AL30" s="125">
        <f t="shared" si="72"/>
        <v>0</v>
      </c>
      <c r="AM30" s="126">
        <v>0</v>
      </c>
      <c r="AN30" s="126">
        <v>0</v>
      </c>
      <c r="AO30" s="626"/>
      <c r="AP30" s="595" t="s">
        <v>273</v>
      </c>
      <c r="AT30" s="620">
        <f t="shared" si="4"/>
        <v>269401305</v>
      </c>
      <c r="AU30" s="620">
        <f t="shared" si="5"/>
        <v>269401305</v>
      </c>
      <c r="AV30" s="620">
        <f t="shared" si="6"/>
        <v>0</v>
      </c>
      <c r="AW30" s="620">
        <f t="shared" si="7"/>
        <v>269401305</v>
      </c>
      <c r="AX30" s="620">
        <f t="shared" si="8"/>
        <v>269401305</v>
      </c>
      <c r="AY30" s="620">
        <f t="shared" si="9"/>
        <v>0</v>
      </c>
      <c r="AZ30" s="620">
        <f t="shared" si="10"/>
        <v>0</v>
      </c>
      <c r="BA30" s="620">
        <f t="shared" si="11"/>
        <v>0</v>
      </c>
      <c r="BB30" s="620">
        <f t="shared" si="12"/>
        <v>0</v>
      </c>
    </row>
    <row r="31" spans="1:54" s="581" customFormat="1" ht="30" customHeight="1" x14ac:dyDescent="0.25">
      <c r="A31" s="147">
        <v>6</v>
      </c>
      <c r="B31" s="120" t="s">
        <v>345</v>
      </c>
      <c r="C31" s="131" t="s">
        <v>337</v>
      </c>
      <c r="D31" s="131" t="s">
        <v>273</v>
      </c>
      <c r="E31" s="125">
        <f t="shared" si="61"/>
        <v>95535331</v>
      </c>
      <c r="F31" s="635">
        <f t="shared" si="62"/>
        <v>95535331</v>
      </c>
      <c r="G31" s="635">
        <f t="shared" si="62"/>
        <v>0</v>
      </c>
      <c r="H31" s="125">
        <f t="shared" si="44"/>
        <v>95535331</v>
      </c>
      <c r="I31" s="130">
        <v>95535331</v>
      </c>
      <c r="J31" s="130">
        <v>0</v>
      </c>
      <c r="K31" s="125">
        <f t="shared" si="63"/>
        <v>0</v>
      </c>
      <c r="L31" s="130">
        <v>0</v>
      </c>
      <c r="M31" s="130">
        <v>0</v>
      </c>
      <c r="N31" s="125">
        <f t="shared" si="64"/>
        <v>89153778</v>
      </c>
      <c r="O31" s="625">
        <f t="shared" si="65"/>
        <v>89153778</v>
      </c>
      <c r="P31" s="625">
        <f t="shared" si="65"/>
        <v>0</v>
      </c>
      <c r="Q31" s="125">
        <f t="shared" si="66"/>
        <v>89153778</v>
      </c>
      <c r="R31" s="126">
        <v>89153778</v>
      </c>
      <c r="S31" s="126">
        <v>0</v>
      </c>
      <c r="T31" s="125">
        <f t="shared" si="67"/>
        <v>0</v>
      </c>
      <c r="U31" s="126">
        <v>0</v>
      </c>
      <c r="V31" s="126">
        <v>0</v>
      </c>
      <c r="W31" s="125">
        <f t="shared" si="73"/>
        <v>6381553</v>
      </c>
      <c r="X31" s="625">
        <f t="shared" si="74"/>
        <v>6381553</v>
      </c>
      <c r="Y31" s="625">
        <f t="shared" si="74"/>
        <v>0</v>
      </c>
      <c r="Z31" s="130">
        <v>6381553</v>
      </c>
      <c r="AA31" s="130">
        <v>6381553</v>
      </c>
      <c r="AB31" s="130">
        <v>0</v>
      </c>
      <c r="AC31" s="130">
        <v>0</v>
      </c>
      <c r="AD31" s="130">
        <v>0</v>
      </c>
      <c r="AE31" s="130">
        <v>0</v>
      </c>
      <c r="AF31" s="125">
        <f t="shared" si="68"/>
        <v>89153778</v>
      </c>
      <c r="AG31" s="625">
        <f t="shared" si="69"/>
        <v>89153778</v>
      </c>
      <c r="AH31" s="625">
        <f t="shared" si="70"/>
        <v>0</v>
      </c>
      <c r="AI31" s="125">
        <f t="shared" si="71"/>
        <v>89153778</v>
      </c>
      <c r="AJ31" s="126">
        <v>89153778</v>
      </c>
      <c r="AK31" s="126">
        <v>0</v>
      </c>
      <c r="AL31" s="125">
        <f t="shared" si="72"/>
        <v>0</v>
      </c>
      <c r="AM31" s="126">
        <v>0</v>
      </c>
      <c r="AN31" s="126">
        <v>0</v>
      </c>
      <c r="AO31" s="626"/>
      <c r="AP31" s="595" t="s">
        <v>273</v>
      </c>
      <c r="AT31" s="620">
        <f t="shared" si="4"/>
        <v>6381553</v>
      </c>
      <c r="AU31" s="620">
        <f t="shared" si="5"/>
        <v>6381553</v>
      </c>
      <c r="AV31" s="620">
        <f t="shared" si="6"/>
        <v>0</v>
      </c>
      <c r="AW31" s="620">
        <f t="shared" si="7"/>
        <v>6381553</v>
      </c>
      <c r="AX31" s="620">
        <f t="shared" si="8"/>
        <v>6381553</v>
      </c>
      <c r="AY31" s="620">
        <f t="shared" si="9"/>
        <v>0</v>
      </c>
      <c r="AZ31" s="620">
        <f t="shared" si="10"/>
        <v>0</v>
      </c>
      <c r="BA31" s="620">
        <f t="shared" si="11"/>
        <v>0</v>
      </c>
      <c r="BB31" s="620">
        <f t="shared" si="12"/>
        <v>0</v>
      </c>
    </row>
    <row r="32" spans="1:54" s="581" customFormat="1" ht="40.5" customHeight="1" x14ac:dyDescent="0.25">
      <c r="A32" s="147">
        <v>7</v>
      </c>
      <c r="B32" s="120" t="s">
        <v>346</v>
      </c>
      <c r="C32" s="131" t="s">
        <v>337</v>
      </c>
      <c r="D32" s="131" t="s">
        <v>273</v>
      </c>
      <c r="E32" s="125">
        <f t="shared" si="61"/>
        <v>123923532</v>
      </c>
      <c r="F32" s="635">
        <f t="shared" si="62"/>
        <v>123923532</v>
      </c>
      <c r="G32" s="635">
        <f t="shared" si="62"/>
        <v>0</v>
      </c>
      <c r="H32" s="125">
        <f t="shared" si="44"/>
        <v>123923532</v>
      </c>
      <c r="I32" s="130">
        <v>123923532</v>
      </c>
      <c r="J32" s="130">
        <v>0</v>
      </c>
      <c r="K32" s="125">
        <f t="shared" si="63"/>
        <v>0</v>
      </c>
      <c r="L32" s="130">
        <v>0</v>
      </c>
      <c r="M32" s="130">
        <v>0</v>
      </c>
      <c r="N32" s="125">
        <f t="shared" si="64"/>
        <v>97788387</v>
      </c>
      <c r="O32" s="625">
        <f t="shared" si="65"/>
        <v>97788387</v>
      </c>
      <c r="P32" s="625">
        <f t="shared" si="65"/>
        <v>0</v>
      </c>
      <c r="Q32" s="125">
        <f t="shared" si="66"/>
        <v>97788387</v>
      </c>
      <c r="R32" s="126">
        <v>97788387</v>
      </c>
      <c r="S32" s="126">
        <v>0</v>
      </c>
      <c r="T32" s="125">
        <f t="shared" si="67"/>
        <v>0</v>
      </c>
      <c r="U32" s="126">
        <v>0</v>
      </c>
      <c r="V32" s="126">
        <v>0</v>
      </c>
      <c r="W32" s="125">
        <f t="shared" si="73"/>
        <v>26135145</v>
      </c>
      <c r="X32" s="625">
        <f t="shared" si="74"/>
        <v>26135145</v>
      </c>
      <c r="Y32" s="625">
        <f t="shared" si="74"/>
        <v>0</v>
      </c>
      <c r="Z32" s="130">
        <v>26135145</v>
      </c>
      <c r="AA32" s="130">
        <v>26135145</v>
      </c>
      <c r="AB32" s="130">
        <v>0</v>
      </c>
      <c r="AC32" s="130">
        <v>0</v>
      </c>
      <c r="AD32" s="130">
        <v>0</v>
      </c>
      <c r="AE32" s="130">
        <v>0</v>
      </c>
      <c r="AF32" s="125">
        <f t="shared" si="68"/>
        <v>97788387</v>
      </c>
      <c r="AG32" s="625">
        <f t="shared" si="69"/>
        <v>97788387</v>
      </c>
      <c r="AH32" s="625">
        <f t="shared" si="70"/>
        <v>0</v>
      </c>
      <c r="AI32" s="125">
        <f t="shared" si="71"/>
        <v>97788387</v>
      </c>
      <c r="AJ32" s="126">
        <v>97788387</v>
      </c>
      <c r="AK32" s="126">
        <v>0</v>
      </c>
      <c r="AL32" s="125">
        <f t="shared" si="72"/>
        <v>0</v>
      </c>
      <c r="AM32" s="126">
        <v>0</v>
      </c>
      <c r="AN32" s="126">
        <v>0</v>
      </c>
      <c r="AO32" s="626"/>
      <c r="AP32" s="595" t="s">
        <v>273</v>
      </c>
      <c r="AT32" s="620">
        <f t="shared" si="4"/>
        <v>26135145</v>
      </c>
      <c r="AU32" s="620">
        <f t="shared" si="5"/>
        <v>26135145</v>
      </c>
      <c r="AV32" s="620">
        <f t="shared" si="6"/>
        <v>0</v>
      </c>
      <c r="AW32" s="620">
        <f t="shared" si="7"/>
        <v>26135145</v>
      </c>
      <c r="AX32" s="620">
        <f t="shared" si="8"/>
        <v>26135145</v>
      </c>
      <c r="AY32" s="620">
        <f t="shared" si="9"/>
        <v>0</v>
      </c>
      <c r="AZ32" s="620">
        <f t="shared" si="10"/>
        <v>0</v>
      </c>
      <c r="BA32" s="620">
        <f t="shared" si="11"/>
        <v>0</v>
      </c>
      <c r="BB32" s="620">
        <f t="shared" si="12"/>
        <v>0</v>
      </c>
    </row>
    <row r="33" spans="1:54" s="581" customFormat="1" ht="49.5" customHeight="1" x14ac:dyDescent="0.25">
      <c r="A33" s="147">
        <v>8</v>
      </c>
      <c r="B33" s="120" t="s">
        <v>347</v>
      </c>
      <c r="C33" s="120" t="s">
        <v>339</v>
      </c>
      <c r="D33" s="120" t="s">
        <v>273</v>
      </c>
      <c r="E33" s="125">
        <f t="shared" si="61"/>
        <v>10158315</v>
      </c>
      <c r="F33" s="635">
        <f t="shared" si="62"/>
        <v>10158315</v>
      </c>
      <c r="G33" s="635">
        <f t="shared" si="62"/>
        <v>0</v>
      </c>
      <c r="H33" s="125">
        <f t="shared" si="44"/>
        <v>10158315</v>
      </c>
      <c r="I33" s="130">
        <v>10158315</v>
      </c>
      <c r="J33" s="130">
        <v>0</v>
      </c>
      <c r="K33" s="125">
        <f t="shared" si="63"/>
        <v>0</v>
      </c>
      <c r="L33" s="130">
        <v>0</v>
      </c>
      <c r="M33" s="130">
        <v>0</v>
      </c>
      <c r="N33" s="125">
        <f t="shared" si="64"/>
        <v>1265315</v>
      </c>
      <c r="O33" s="625">
        <f t="shared" si="65"/>
        <v>1265315</v>
      </c>
      <c r="P33" s="625">
        <f t="shared" si="65"/>
        <v>0</v>
      </c>
      <c r="Q33" s="125">
        <f t="shared" si="66"/>
        <v>1265315</v>
      </c>
      <c r="R33" s="126">
        <v>1265315</v>
      </c>
      <c r="S33" s="126">
        <v>0</v>
      </c>
      <c r="T33" s="125">
        <f t="shared" si="67"/>
        <v>0</v>
      </c>
      <c r="U33" s="126">
        <v>0</v>
      </c>
      <c r="V33" s="126">
        <v>0</v>
      </c>
      <c r="W33" s="125">
        <f>X33+Y33</f>
        <v>8893000</v>
      </c>
      <c r="X33" s="625">
        <f t="shared" si="74"/>
        <v>8893000</v>
      </c>
      <c r="Y33" s="625">
        <f t="shared" si="74"/>
        <v>0</v>
      </c>
      <c r="Z33" s="130">
        <v>8893000</v>
      </c>
      <c r="AA33" s="130">
        <v>8893000</v>
      </c>
      <c r="AB33" s="130">
        <v>0</v>
      </c>
      <c r="AC33" s="130">
        <v>0</v>
      </c>
      <c r="AD33" s="130">
        <v>0</v>
      </c>
      <c r="AE33" s="130">
        <v>0</v>
      </c>
      <c r="AF33" s="125">
        <f t="shared" si="68"/>
        <v>1265315</v>
      </c>
      <c r="AG33" s="625">
        <f t="shared" si="69"/>
        <v>1265315</v>
      </c>
      <c r="AH33" s="625">
        <f t="shared" si="70"/>
        <v>0</v>
      </c>
      <c r="AI33" s="125">
        <f t="shared" si="71"/>
        <v>1265315</v>
      </c>
      <c r="AJ33" s="126">
        <v>1265315</v>
      </c>
      <c r="AK33" s="126">
        <v>0</v>
      </c>
      <c r="AL33" s="125">
        <f t="shared" si="72"/>
        <v>0</v>
      </c>
      <c r="AM33" s="126">
        <v>0</v>
      </c>
      <c r="AN33" s="126">
        <v>0</v>
      </c>
      <c r="AO33" s="626"/>
      <c r="AP33" s="595" t="s">
        <v>273</v>
      </c>
      <c r="AT33" s="620">
        <f t="shared" si="4"/>
        <v>8893000</v>
      </c>
      <c r="AU33" s="620">
        <f t="shared" si="5"/>
        <v>8893000</v>
      </c>
      <c r="AV33" s="620">
        <f t="shared" si="6"/>
        <v>0</v>
      </c>
      <c r="AW33" s="620">
        <f t="shared" si="7"/>
        <v>8893000</v>
      </c>
      <c r="AX33" s="620">
        <f t="shared" si="8"/>
        <v>8893000</v>
      </c>
      <c r="AY33" s="620">
        <f t="shared" si="9"/>
        <v>0</v>
      </c>
      <c r="AZ33" s="620">
        <f t="shared" si="10"/>
        <v>0</v>
      </c>
      <c r="BA33" s="620">
        <f t="shared" si="11"/>
        <v>0</v>
      </c>
      <c r="BB33" s="620">
        <f t="shared" si="12"/>
        <v>0</v>
      </c>
    </row>
    <row r="34" spans="1:54" s="581" customFormat="1" ht="39" customHeight="1" x14ac:dyDescent="0.25">
      <c r="A34" s="147">
        <v>9</v>
      </c>
      <c r="B34" s="120" t="s">
        <v>348</v>
      </c>
      <c r="C34" s="120" t="s">
        <v>339</v>
      </c>
      <c r="D34" s="120" t="s">
        <v>273</v>
      </c>
      <c r="E34" s="125">
        <f t="shared" si="61"/>
        <v>19400280.999999952</v>
      </c>
      <c r="F34" s="635">
        <f t="shared" si="62"/>
        <v>19400280.999999952</v>
      </c>
      <c r="G34" s="635">
        <f t="shared" si="62"/>
        <v>0</v>
      </c>
      <c r="H34" s="125">
        <f t="shared" si="44"/>
        <v>19400280.999999952</v>
      </c>
      <c r="I34" s="130">
        <v>19400280.999999952</v>
      </c>
      <c r="J34" s="130">
        <v>0</v>
      </c>
      <c r="K34" s="125">
        <f t="shared" si="63"/>
        <v>0</v>
      </c>
      <c r="L34" s="130">
        <v>0</v>
      </c>
      <c r="M34" s="130">
        <v>0</v>
      </c>
      <c r="N34" s="125">
        <f t="shared" si="64"/>
        <v>5370179</v>
      </c>
      <c r="O34" s="625">
        <f t="shared" si="65"/>
        <v>5370179</v>
      </c>
      <c r="P34" s="625">
        <f t="shared" si="65"/>
        <v>0</v>
      </c>
      <c r="Q34" s="125">
        <f t="shared" si="66"/>
        <v>5370179</v>
      </c>
      <c r="R34" s="126">
        <v>5370179</v>
      </c>
      <c r="S34" s="126">
        <v>0</v>
      </c>
      <c r="T34" s="125">
        <f t="shared" si="67"/>
        <v>0</v>
      </c>
      <c r="U34" s="126">
        <v>0</v>
      </c>
      <c r="V34" s="126">
        <v>0</v>
      </c>
      <c r="W34" s="125">
        <f>X34+Y34</f>
        <v>14030101.999999952</v>
      </c>
      <c r="X34" s="625">
        <f t="shared" si="74"/>
        <v>14030101.999999952</v>
      </c>
      <c r="Y34" s="625">
        <f t="shared" si="74"/>
        <v>0</v>
      </c>
      <c r="Z34" s="130">
        <v>14030101.999999952</v>
      </c>
      <c r="AA34" s="130">
        <v>14030101.999999952</v>
      </c>
      <c r="AB34" s="130">
        <v>0</v>
      </c>
      <c r="AC34" s="130">
        <v>0</v>
      </c>
      <c r="AD34" s="130">
        <v>0</v>
      </c>
      <c r="AE34" s="130">
        <v>0</v>
      </c>
      <c r="AF34" s="125">
        <f t="shared" si="68"/>
        <v>5370179</v>
      </c>
      <c r="AG34" s="625">
        <f t="shared" si="69"/>
        <v>5370179</v>
      </c>
      <c r="AH34" s="625">
        <f t="shared" si="70"/>
        <v>0</v>
      </c>
      <c r="AI34" s="125">
        <f t="shared" si="71"/>
        <v>5370179</v>
      </c>
      <c r="AJ34" s="126">
        <v>5370179</v>
      </c>
      <c r="AK34" s="126">
        <v>0</v>
      </c>
      <c r="AL34" s="125">
        <f t="shared" si="72"/>
        <v>0</v>
      </c>
      <c r="AM34" s="126">
        <v>0</v>
      </c>
      <c r="AN34" s="126">
        <v>0</v>
      </c>
      <c r="AO34" s="626"/>
      <c r="AP34" s="595" t="s">
        <v>273</v>
      </c>
      <c r="AT34" s="620">
        <f t="shared" si="4"/>
        <v>14030101.999999952</v>
      </c>
      <c r="AU34" s="620">
        <f t="shared" si="5"/>
        <v>14030101.999999952</v>
      </c>
      <c r="AV34" s="620">
        <f t="shared" si="6"/>
        <v>0</v>
      </c>
      <c r="AW34" s="620">
        <f t="shared" si="7"/>
        <v>14030101.999999952</v>
      </c>
      <c r="AX34" s="620">
        <f t="shared" si="8"/>
        <v>14030101.999999952</v>
      </c>
      <c r="AY34" s="620">
        <f t="shared" si="9"/>
        <v>0</v>
      </c>
      <c r="AZ34" s="620">
        <f t="shared" si="10"/>
        <v>0</v>
      </c>
      <c r="BA34" s="620">
        <f t="shared" si="11"/>
        <v>0</v>
      </c>
      <c r="BB34" s="620">
        <f t="shared" si="12"/>
        <v>0</v>
      </c>
    </row>
    <row r="35" spans="1:54" s="581" customFormat="1" ht="27.75" customHeight="1" x14ac:dyDescent="0.25">
      <c r="A35" s="147">
        <v>10</v>
      </c>
      <c r="B35" s="120" t="s">
        <v>349</v>
      </c>
      <c r="C35" s="120" t="s">
        <v>339</v>
      </c>
      <c r="D35" s="120" t="s">
        <v>273</v>
      </c>
      <c r="E35" s="125">
        <f t="shared" si="61"/>
        <v>14944023</v>
      </c>
      <c r="F35" s="635">
        <f t="shared" si="62"/>
        <v>14944023</v>
      </c>
      <c r="G35" s="635">
        <f t="shared" si="62"/>
        <v>0</v>
      </c>
      <c r="H35" s="125">
        <f t="shared" si="44"/>
        <v>14944023</v>
      </c>
      <c r="I35" s="130">
        <v>14944023</v>
      </c>
      <c r="J35" s="130">
        <v>0</v>
      </c>
      <c r="K35" s="125">
        <f t="shared" si="63"/>
        <v>0</v>
      </c>
      <c r="L35" s="130">
        <v>0</v>
      </c>
      <c r="M35" s="130">
        <v>0</v>
      </c>
      <c r="N35" s="125">
        <f t="shared" si="64"/>
        <v>2367676</v>
      </c>
      <c r="O35" s="625">
        <f t="shared" si="65"/>
        <v>2367676</v>
      </c>
      <c r="P35" s="625">
        <f t="shared" si="65"/>
        <v>0</v>
      </c>
      <c r="Q35" s="125">
        <f t="shared" si="66"/>
        <v>2367676</v>
      </c>
      <c r="R35" s="126">
        <v>2367676</v>
      </c>
      <c r="S35" s="126">
        <v>0</v>
      </c>
      <c r="T35" s="125">
        <f t="shared" si="67"/>
        <v>0</v>
      </c>
      <c r="U35" s="126">
        <v>0</v>
      </c>
      <c r="V35" s="126">
        <v>0</v>
      </c>
      <c r="W35" s="125">
        <f>X35+Y35</f>
        <v>12576347</v>
      </c>
      <c r="X35" s="625">
        <f t="shared" si="74"/>
        <v>12576347</v>
      </c>
      <c r="Y35" s="625">
        <f t="shared" si="74"/>
        <v>0</v>
      </c>
      <c r="Z35" s="130">
        <v>12576347</v>
      </c>
      <c r="AA35" s="130">
        <v>12576347</v>
      </c>
      <c r="AB35" s="130">
        <v>0</v>
      </c>
      <c r="AC35" s="130">
        <v>0</v>
      </c>
      <c r="AD35" s="130">
        <v>0</v>
      </c>
      <c r="AE35" s="130">
        <v>0</v>
      </c>
      <c r="AF35" s="125">
        <f t="shared" si="68"/>
        <v>2367676</v>
      </c>
      <c r="AG35" s="625">
        <f t="shared" si="69"/>
        <v>2367676</v>
      </c>
      <c r="AH35" s="625">
        <f t="shared" si="70"/>
        <v>0</v>
      </c>
      <c r="AI35" s="125">
        <f t="shared" si="71"/>
        <v>2367676</v>
      </c>
      <c r="AJ35" s="126">
        <v>2367676</v>
      </c>
      <c r="AK35" s="126">
        <v>0</v>
      </c>
      <c r="AL35" s="125">
        <f t="shared" si="72"/>
        <v>0</v>
      </c>
      <c r="AM35" s="126">
        <v>0</v>
      </c>
      <c r="AN35" s="126">
        <v>0</v>
      </c>
      <c r="AO35" s="626"/>
      <c r="AP35" s="595" t="s">
        <v>273</v>
      </c>
      <c r="AT35" s="620">
        <f t="shared" si="4"/>
        <v>12576347</v>
      </c>
      <c r="AU35" s="620">
        <f t="shared" si="5"/>
        <v>12576347</v>
      </c>
      <c r="AV35" s="620">
        <f t="shared" si="6"/>
        <v>0</v>
      </c>
      <c r="AW35" s="620">
        <f t="shared" si="7"/>
        <v>12576347</v>
      </c>
      <c r="AX35" s="620">
        <f t="shared" si="8"/>
        <v>12576347</v>
      </c>
      <c r="AY35" s="620">
        <f t="shared" si="9"/>
        <v>0</v>
      </c>
      <c r="AZ35" s="620">
        <f t="shared" si="10"/>
        <v>0</v>
      </c>
      <c r="BA35" s="620">
        <f t="shared" si="11"/>
        <v>0</v>
      </c>
      <c r="BB35" s="620">
        <f t="shared" si="12"/>
        <v>0</v>
      </c>
    </row>
    <row r="36" spans="1:54" s="581" customFormat="1" ht="39" customHeight="1" x14ac:dyDescent="0.25">
      <c r="A36" s="147">
        <v>11</v>
      </c>
      <c r="B36" s="120" t="s">
        <v>350</v>
      </c>
      <c r="C36" s="120" t="s">
        <v>339</v>
      </c>
      <c r="D36" s="120" t="s">
        <v>273</v>
      </c>
      <c r="E36" s="125">
        <f t="shared" si="61"/>
        <v>229046560</v>
      </c>
      <c r="F36" s="635">
        <f t="shared" si="62"/>
        <v>59046560</v>
      </c>
      <c r="G36" s="635">
        <f t="shared" si="62"/>
        <v>170000000</v>
      </c>
      <c r="H36" s="125">
        <f t="shared" si="44"/>
        <v>59046560</v>
      </c>
      <c r="I36" s="130">
        <v>59046560</v>
      </c>
      <c r="J36" s="130">
        <v>0</v>
      </c>
      <c r="K36" s="125">
        <f t="shared" si="63"/>
        <v>170000000</v>
      </c>
      <c r="L36" s="130">
        <v>0</v>
      </c>
      <c r="M36" s="130">
        <v>170000000</v>
      </c>
      <c r="N36" s="125">
        <f t="shared" si="64"/>
        <v>229046560</v>
      </c>
      <c r="O36" s="625">
        <f t="shared" si="65"/>
        <v>59046560</v>
      </c>
      <c r="P36" s="625">
        <f t="shared" si="65"/>
        <v>170000000</v>
      </c>
      <c r="Q36" s="125">
        <f t="shared" si="66"/>
        <v>59046560</v>
      </c>
      <c r="R36" s="126">
        <v>59046560</v>
      </c>
      <c r="S36" s="126">
        <v>0</v>
      </c>
      <c r="T36" s="125">
        <f t="shared" si="67"/>
        <v>170000000</v>
      </c>
      <c r="U36" s="126">
        <v>0</v>
      </c>
      <c r="V36" s="126">
        <v>170000000</v>
      </c>
      <c r="W36" s="125">
        <f>X36+Y36</f>
        <v>0</v>
      </c>
      <c r="X36" s="625">
        <f t="shared" si="74"/>
        <v>0</v>
      </c>
      <c r="Y36" s="625">
        <f t="shared" si="74"/>
        <v>0</v>
      </c>
      <c r="Z36" s="130"/>
      <c r="AA36" s="130"/>
      <c r="AB36" s="130"/>
      <c r="AC36" s="130"/>
      <c r="AD36" s="130"/>
      <c r="AE36" s="130"/>
      <c r="AF36" s="125">
        <f t="shared" si="68"/>
        <v>229046560</v>
      </c>
      <c r="AG36" s="625">
        <f t="shared" si="69"/>
        <v>59046560</v>
      </c>
      <c r="AH36" s="625">
        <f t="shared" si="70"/>
        <v>170000000</v>
      </c>
      <c r="AI36" s="125">
        <f t="shared" si="71"/>
        <v>59046560</v>
      </c>
      <c r="AJ36" s="126">
        <v>59046560</v>
      </c>
      <c r="AK36" s="126">
        <v>0</v>
      </c>
      <c r="AL36" s="125">
        <f t="shared" si="72"/>
        <v>170000000</v>
      </c>
      <c r="AM36" s="126">
        <v>0</v>
      </c>
      <c r="AN36" s="126">
        <v>170000000</v>
      </c>
      <c r="AO36" s="626"/>
      <c r="AP36" s="595" t="s">
        <v>273</v>
      </c>
      <c r="AT36" s="620">
        <f t="shared" si="4"/>
        <v>0</v>
      </c>
      <c r="AU36" s="620">
        <f t="shared" si="5"/>
        <v>0</v>
      </c>
      <c r="AV36" s="620">
        <f t="shared" si="6"/>
        <v>0</v>
      </c>
      <c r="AW36" s="620">
        <f t="shared" si="7"/>
        <v>0</v>
      </c>
      <c r="AX36" s="620">
        <f t="shared" si="8"/>
        <v>0</v>
      </c>
      <c r="AY36" s="620">
        <f t="shared" si="9"/>
        <v>0</v>
      </c>
      <c r="AZ36" s="620">
        <f t="shared" si="10"/>
        <v>0</v>
      </c>
      <c r="BA36" s="620">
        <f t="shared" si="11"/>
        <v>0</v>
      </c>
      <c r="BB36" s="620">
        <f t="shared" si="12"/>
        <v>0</v>
      </c>
    </row>
    <row r="37" spans="1:54" s="581" customFormat="1" ht="30" customHeight="1" x14ac:dyDescent="0.25">
      <c r="A37" s="147">
        <v>12</v>
      </c>
      <c r="B37" s="131" t="s">
        <v>351</v>
      </c>
      <c r="C37" s="131" t="s">
        <v>333</v>
      </c>
      <c r="D37" s="120" t="s">
        <v>273</v>
      </c>
      <c r="E37" s="125">
        <f t="shared" si="61"/>
        <v>35937469</v>
      </c>
      <c r="F37" s="635">
        <f t="shared" si="62"/>
        <v>35937469</v>
      </c>
      <c r="G37" s="635">
        <f t="shared" si="62"/>
        <v>0</v>
      </c>
      <c r="H37" s="125">
        <f t="shared" si="44"/>
        <v>35937469</v>
      </c>
      <c r="I37" s="130">
        <v>35937469</v>
      </c>
      <c r="J37" s="130">
        <v>0</v>
      </c>
      <c r="K37" s="125">
        <f t="shared" si="63"/>
        <v>0</v>
      </c>
      <c r="L37" s="130">
        <v>0</v>
      </c>
      <c r="M37" s="130">
        <v>0</v>
      </c>
      <c r="N37" s="125">
        <f t="shared" si="64"/>
        <v>0</v>
      </c>
      <c r="O37" s="625">
        <f t="shared" si="65"/>
        <v>0</v>
      </c>
      <c r="P37" s="625">
        <f t="shared" si="65"/>
        <v>0</v>
      </c>
      <c r="Q37" s="125">
        <f t="shared" si="66"/>
        <v>0</v>
      </c>
      <c r="R37" s="126">
        <v>0</v>
      </c>
      <c r="S37" s="126">
        <v>0</v>
      </c>
      <c r="T37" s="125">
        <f t="shared" si="67"/>
        <v>0</v>
      </c>
      <c r="U37" s="126">
        <v>0</v>
      </c>
      <c r="V37" s="126">
        <v>0</v>
      </c>
      <c r="W37" s="125">
        <f t="shared" ref="W37" si="75">X37+Y37</f>
        <v>10323415</v>
      </c>
      <c r="X37" s="625">
        <f t="shared" si="74"/>
        <v>10323415</v>
      </c>
      <c r="Y37" s="625">
        <f t="shared" si="74"/>
        <v>0</v>
      </c>
      <c r="Z37" s="130">
        <f>AA37+AB37</f>
        <v>10323415</v>
      </c>
      <c r="AA37" s="130">
        <v>10323415</v>
      </c>
      <c r="AB37" s="130"/>
      <c r="AC37" s="130"/>
      <c r="AD37" s="130"/>
      <c r="AE37" s="130"/>
      <c r="AF37" s="125">
        <f t="shared" si="68"/>
        <v>25614054</v>
      </c>
      <c r="AG37" s="625">
        <f t="shared" si="69"/>
        <v>25614054</v>
      </c>
      <c r="AH37" s="625">
        <f t="shared" si="70"/>
        <v>0</v>
      </c>
      <c r="AI37" s="130">
        <f t="shared" si="71"/>
        <v>25614054</v>
      </c>
      <c r="AJ37" s="130">
        <f>I37-AA37</f>
        <v>25614054</v>
      </c>
      <c r="AK37" s="130"/>
      <c r="AL37" s="130">
        <f t="shared" si="72"/>
        <v>0</v>
      </c>
      <c r="AM37" s="130"/>
      <c r="AN37" s="130"/>
      <c r="AO37" s="626"/>
      <c r="AP37" s="595" t="s">
        <v>273</v>
      </c>
      <c r="AQ37" s="636" t="s">
        <v>352</v>
      </c>
      <c r="AR37" s="636"/>
      <c r="AT37" s="620">
        <f t="shared" si="4"/>
        <v>10323415</v>
      </c>
      <c r="AU37" s="620">
        <f t="shared" si="5"/>
        <v>10323415</v>
      </c>
      <c r="AV37" s="620">
        <f t="shared" si="6"/>
        <v>0</v>
      </c>
      <c r="AW37" s="620">
        <f t="shared" si="7"/>
        <v>10323415</v>
      </c>
      <c r="AX37" s="620">
        <f t="shared" si="8"/>
        <v>10323415</v>
      </c>
      <c r="AY37" s="620">
        <f t="shared" si="9"/>
        <v>0</v>
      </c>
      <c r="AZ37" s="620">
        <f t="shared" si="10"/>
        <v>0</v>
      </c>
      <c r="BA37" s="620">
        <f t="shared" si="11"/>
        <v>0</v>
      </c>
      <c r="BB37" s="620">
        <f t="shared" si="12"/>
        <v>0</v>
      </c>
    </row>
    <row r="38" spans="1:54" s="581" customFormat="1" ht="29.25" customHeight="1" x14ac:dyDescent="0.25">
      <c r="A38" s="147">
        <v>13</v>
      </c>
      <c r="B38" s="131" t="s">
        <v>353</v>
      </c>
      <c r="C38" s="120" t="s">
        <v>323</v>
      </c>
      <c r="D38" s="120" t="s">
        <v>274</v>
      </c>
      <c r="E38" s="125">
        <f t="shared" si="61"/>
        <v>1909564889</v>
      </c>
      <c r="F38" s="635">
        <f t="shared" si="62"/>
        <v>1809564889</v>
      </c>
      <c r="G38" s="635">
        <f t="shared" si="62"/>
        <v>100000000</v>
      </c>
      <c r="H38" s="125">
        <f t="shared" si="44"/>
        <v>909564889</v>
      </c>
      <c r="I38" s="130">
        <v>909564889</v>
      </c>
      <c r="J38" s="130">
        <v>0</v>
      </c>
      <c r="K38" s="125">
        <f t="shared" si="63"/>
        <v>1000000000</v>
      </c>
      <c r="L38" s="134">
        <f>900000000-450000000+450000000</f>
        <v>900000000</v>
      </c>
      <c r="M38" s="134">
        <f>100000000-100000000+100000000</f>
        <v>100000000</v>
      </c>
      <c r="N38" s="125">
        <f t="shared" si="64"/>
        <v>778908090</v>
      </c>
      <c r="O38" s="625">
        <f t="shared" si="65"/>
        <v>778908090</v>
      </c>
      <c r="P38" s="625">
        <f t="shared" si="65"/>
        <v>0</v>
      </c>
      <c r="Q38" s="125">
        <f t="shared" si="66"/>
        <v>505600000</v>
      </c>
      <c r="R38" s="126">
        <v>505600000</v>
      </c>
      <c r="S38" s="126">
        <v>0</v>
      </c>
      <c r="T38" s="125">
        <f t="shared" si="67"/>
        <v>273308090</v>
      </c>
      <c r="U38" s="126">
        <v>273308090</v>
      </c>
      <c r="V38" s="126">
        <v>0</v>
      </c>
      <c r="W38" s="130"/>
      <c r="X38" s="130"/>
      <c r="Y38" s="130"/>
      <c r="Z38" s="130"/>
      <c r="AA38" s="130"/>
      <c r="AB38" s="130"/>
      <c r="AC38" s="130"/>
      <c r="AD38" s="130"/>
      <c r="AE38" s="130"/>
      <c r="AF38" s="125">
        <f t="shared" si="68"/>
        <v>1859564889</v>
      </c>
      <c r="AG38" s="625">
        <f t="shared" si="69"/>
        <v>1759564889</v>
      </c>
      <c r="AH38" s="625">
        <f t="shared" si="70"/>
        <v>100000000</v>
      </c>
      <c r="AI38" s="125">
        <f t="shared" si="71"/>
        <v>909564889</v>
      </c>
      <c r="AJ38" s="130">
        <v>909564889</v>
      </c>
      <c r="AK38" s="130">
        <v>0</v>
      </c>
      <c r="AL38" s="130">
        <f t="shared" si="72"/>
        <v>950000000</v>
      </c>
      <c r="AM38" s="134">
        <f>900000000-450000000+450000000-50000000</f>
        <v>850000000</v>
      </c>
      <c r="AN38" s="134">
        <v>100000000</v>
      </c>
      <c r="AO38" s="626"/>
      <c r="AP38" s="595" t="s">
        <v>274</v>
      </c>
      <c r="AT38" s="620">
        <f t="shared" si="4"/>
        <v>50000000</v>
      </c>
      <c r="AU38" s="620">
        <f t="shared" si="5"/>
        <v>50000000</v>
      </c>
      <c r="AV38" s="620">
        <f t="shared" si="6"/>
        <v>0</v>
      </c>
      <c r="AW38" s="620">
        <f t="shared" si="7"/>
        <v>0</v>
      </c>
      <c r="AX38" s="620">
        <f t="shared" si="8"/>
        <v>0</v>
      </c>
      <c r="AY38" s="620">
        <f t="shared" si="9"/>
        <v>0</v>
      </c>
      <c r="AZ38" s="620">
        <f t="shared" si="10"/>
        <v>50000000</v>
      </c>
      <c r="BA38" s="620">
        <f t="shared" si="11"/>
        <v>50000000</v>
      </c>
      <c r="BB38" s="620">
        <f t="shared" si="12"/>
        <v>0</v>
      </c>
    </row>
    <row r="39" spans="1:54" s="581" customFormat="1" ht="29.25" customHeight="1" x14ac:dyDescent="0.25">
      <c r="A39" s="147">
        <v>14</v>
      </c>
      <c r="B39" s="120" t="s">
        <v>354</v>
      </c>
      <c r="C39" s="131" t="s">
        <v>333</v>
      </c>
      <c r="D39" s="131" t="s">
        <v>274</v>
      </c>
      <c r="E39" s="125">
        <f t="shared" si="61"/>
        <v>700000000</v>
      </c>
      <c r="F39" s="635">
        <f t="shared" si="62"/>
        <v>700000000</v>
      </c>
      <c r="G39" s="635">
        <f t="shared" si="62"/>
        <v>0</v>
      </c>
      <c r="H39" s="125">
        <f t="shared" si="44"/>
        <v>0</v>
      </c>
      <c r="I39" s="130">
        <v>0</v>
      </c>
      <c r="J39" s="130">
        <v>0</v>
      </c>
      <c r="K39" s="125">
        <f t="shared" si="63"/>
        <v>700000000</v>
      </c>
      <c r="L39" s="130">
        <v>700000000</v>
      </c>
      <c r="M39" s="130">
        <v>0</v>
      </c>
      <c r="N39" s="125">
        <f t="shared" si="64"/>
        <v>0</v>
      </c>
      <c r="O39" s="625">
        <f t="shared" si="65"/>
        <v>0</v>
      </c>
      <c r="P39" s="625">
        <f t="shared" si="65"/>
        <v>0</v>
      </c>
      <c r="Q39" s="125">
        <f t="shared" si="66"/>
        <v>0</v>
      </c>
      <c r="R39" s="126">
        <v>0</v>
      </c>
      <c r="S39" s="126">
        <v>0</v>
      </c>
      <c r="T39" s="125">
        <f t="shared" si="67"/>
        <v>0</v>
      </c>
      <c r="U39" s="126">
        <v>0</v>
      </c>
      <c r="V39" s="126">
        <v>0</v>
      </c>
      <c r="W39" s="130"/>
      <c r="X39" s="130"/>
      <c r="Y39" s="130"/>
      <c r="Z39" s="130"/>
      <c r="AA39" s="130"/>
      <c r="AB39" s="130"/>
      <c r="AC39" s="130"/>
      <c r="AD39" s="130"/>
      <c r="AE39" s="130"/>
      <c r="AF39" s="125">
        <f t="shared" si="68"/>
        <v>690000000</v>
      </c>
      <c r="AG39" s="625">
        <f t="shared" si="69"/>
        <v>690000000</v>
      </c>
      <c r="AH39" s="625">
        <f t="shared" si="70"/>
        <v>0</v>
      </c>
      <c r="AI39" s="130"/>
      <c r="AJ39" s="130"/>
      <c r="AK39" s="130"/>
      <c r="AL39" s="130">
        <f t="shared" si="72"/>
        <v>690000000</v>
      </c>
      <c r="AM39" s="130">
        <v>690000000</v>
      </c>
      <c r="AN39" s="130"/>
      <c r="AO39" s="626"/>
      <c r="AP39" s="595" t="s">
        <v>274</v>
      </c>
      <c r="AT39" s="620">
        <f t="shared" si="4"/>
        <v>10000000</v>
      </c>
      <c r="AU39" s="620">
        <f t="shared" si="5"/>
        <v>10000000</v>
      </c>
      <c r="AV39" s="620">
        <f t="shared" si="6"/>
        <v>0</v>
      </c>
      <c r="AW39" s="620">
        <f t="shared" si="7"/>
        <v>0</v>
      </c>
      <c r="AX39" s="620">
        <f t="shared" si="8"/>
        <v>0</v>
      </c>
      <c r="AY39" s="620">
        <f t="shared" si="9"/>
        <v>0</v>
      </c>
      <c r="AZ39" s="620">
        <f t="shared" si="10"/>
        <v>10000000</v>
      </c>
      <c r="BA39" s="620">
        <f t="shared" si="11"/>
        <v>10000000</v>
      </c>
      <c r="BB39" s="620">
        <f t="shared" si="12"/>
        <v>0</v>
      </c>
    </row>
    <row r="40" spans="1:54" s="581" customFormat="1" ht="29.25" customHeight="1" x14ac:dyDescent="0.25">
      <c r="A40" s="147">
        <v>15</v>
      </c>
      <c r="B40" s="120" t="s">
        <v>355</v>
      </c>
      <c r="C40" s="131" t="s">
        <v>333</v>
      </c>
      <c r="D40" s="131" t="s">
        <v>274</v>
      </c>
      <c r="E40" s="125">
        <f t="shared" si="61"/>
        <v>1200000000</v>
      </c>
      <c r="F40" s="635">
        <f t="shared" si="62"/>
        <v>1200000000</v>
      </c>
      <c r="G40" s="635">
        <f t="shared" si="62"/>
        <v>0</v>
      </c>
      <c r="H40" s="125">
        <f t="shared" si="44"/>
        <v>0</v>
      </c>
      <c r="I40" s="130">
        <v>0</v>
      </c>
      <c r="J40" s="130">
        <v>0</v>
      </c>
      <c r="K40" s="125">
        <f t="shared" si="63"/>
        <v>1200000000</v>
      </c>
      <c r="L40" s="130">
        <v>1200000000</v>
      </c>
      <c r="M40" s="130">
        <v>0</v>
      </c>
      <c r="N40" s="125">
        <f t="shared" si="64"/>
        <v>935461000</v>
      </c>
      <c r="O40" s="625">
        <f t="shared" si="65"/>
        <v>935461000</v>
      </c>
      <c r="P40" s="625">
        <f t="shared" si="65"/>
        <v>0</v>
      </c>
      <c r="Q40" s="125">
        <f t="shared" si="66"/>
        <v>0</v>
      </c>
      <c r="R40" s="126">
        <v>0</v>
      </c>
      <c r="S40" s="126">
        <v>0</v>
      </c>
      <c r="T40" s="125">
        <f t="shared" si="67"/>
        <v>935461000</v>
      </c>
      <c r="U40" s="125">
        <f>351461000+584000000</f>
        <v>935461000</v>
      </c>
      <c r="V40" s="126">
        <v>0</v>
      </c>
      <c r="W40" s="130"/>
      <c r="X40" s="130"/>
      <c r="Y40" s="130"/>
      <c r="Z40" s="130"/>
      <c r="AA40" s="130"/>
      <c r="AB40" s="130"/>
      <c r="AC40" s="130"/>
      <c r="AD40" s="130"/>
      <c r="AE40" s="130"/>
      <c r="AF40" s="125">
        <f t="shared" si="68"/>
        <v>1180461000</v>
      </c>
      <c r="AG40" s="625">
        <f t="shared" si="69"/>
        <v>1180461000</v>
      </c>
      <c r="AH40" s="625">
        <f t="shared" si="70"/>
        <v>0</v>
      </c>
      <c r="AI40" s="130"/>
      <c r="AJ40" s="130"/>
      <c r="AK40" s="130"/>
      <c r="AL40" s="130">
        <f t="shared" si="72"/>
        <v>1180461000</v>
      </c>
      <c r="AM40" s="130">
        <f>935461000+245000000</f>
        <v>1180461000</v>
      </c>
      <c r="AN40" s="130"/>
      <c r="AO40" s="626"/>
      <c r="AP40" s="595" t="s">
        <v>274</v>
      </c>
      <c r="AT40" s="620">
        <f t="shared" si="4"/>
        <v>19539000</v>
      </c>
      <c r="AU40" s="620">
        <f t="shared" si="5"/>
        <v>19539000</v>
      </c>
      <c r="AV40" s="620">
        <f t="shared" si="6"/>
        <v>0</v>
      </c>
      <c r="AW40" s="620">
        <f t="shared" si="7"/>
        <v>0</v>
      </c>
      <c r="AX40" s="620">
        <f t="shared" si="8"/>
        <v>0</v>
      </c>
      <c r="AY40" s="620">
        <f t="shared" si="9"/>
        <v>0</v>
      </c>
      <c r="AZ40" s="620">
        <f t="shared" si="10"/>
        <v>19539000</v>
      </c>
      <c r="BA40" s="620">
        <f t="shared" si="11"/>
        <v>19539000</v>
      </c>
      <c r="BB40" s="620">
        <f t="shared" si="12"/>
        <v>0</v>
      </c>
    </row>
    <row r="41" spans="1:54" s="581" customFormat="1" ht="29.25" customHeight="1" x14ac:dyDescent="0.25">
      <c r="A41" s="147">
        <v>16</v>
      </c>
      <c r="B41" s="120" t="s">
        <v>356</v>
      </c>
      <c r="C41" s="131" t="s">
        <v>337</v>
      </c>
      <c r="D41" s="131" t="s">
        <v>274</v>
      </c>
      <c r="E41" s="125">
        <f t="shared" si="61"/>
        <v>2500000000</v>
      </c>
      <c r="F41" s="635">
        <f t="shared" si="62"/>
        <v>2322100000</v>
      </c>
      <c r="G41" s="635">
        <f t="shared" si="62"/>
        <v>177900000</v>
      </c>
      <c r="H41" s="125">
        <f t="shared" si="44"/>
        <v>0</v>
      </c>
      <c r="I41" s="130">
        <v>0</v>
      </c>
      <c r="J41" s="130">
        <v>0</v>
      </c>
      <c r="K41" s="125">
        <f t="shared" si="63"/>
        <v>2500000000</v>
      </c>
      <c r="L41" s="134">
        <f>2322100000-947102739+947102739</f>
        <v>2322100000</v>
      </c>
      <c r="M41" s="134">
        <f>177900000-177900000+177900000</f>
        <v>177900000</v>
      </c>
      <c r="N41" s="125">
        <f t="shared" si="64"/>
        <v>1766500000</v>
      </c>
      <c r="O41" s="625">
        <f t="shared" si="65"/>
        <v>1588600000</v>
      </c>
      <c r="P41" s="625">
        <f t="shared" si="65"/>
        <v>177900000</v>
      </c>
      <c r="Q41" s="125">
        <f t="shared" si="66"/>
        <v>0</v>
      </c>
      <c r="R41" s="126">
        <v>0</v>
      </c>
      <c r="S41" s="126">
        <v>0</v>
      </c>
      <c r="T41" s="125">
        <f t="shared" si="67"/>
        <v>1766500000</v>
      </c>
      <c r="U41" s="125">
        <f>725500000+863100000</f>
        <v>1588600000</v>
      </c>
      <c r="V41" s="125">
        <v>177900000</v>
      </c>
      <c r="W41" s="130"/>
      <c r="X41" s="130"/>
      <c r="Y41" s="130"/>
      <c r="Z41" s="130"/>
      <c r="AA41" s="130"/>
      <c r="AB41" s="130"/>
      <c r="AC41" s="130"/>
      <c r="AD41" s="130"/>
      <c r="AE41" s="130"/>
      <c r="AF41" s="125">
        <f t="shared" si="68"/>
        <v>2467000000</v>
      </c>
      <c r="AG41" s="625">
        <f t="shared" si="69"/>
        <v>2289100000</v>
      </c>
      <c r="AH41" s="625">
        <f t="shared" si="70"/>
        <v>177900000</v>
      </c>
      <c r="AI41" s="130"/>
      <c r="AJ41" s="130"/>
      <c r="AK41" s="130"/>
      <c r="AL41" s="125">
        <f t="shared" si="72"/>
        <v>2467000000</v>
      </c>
      <c r="AM41" s="125">
        <v>2289100000</v>
      </c>
      <c r="AN41" s="125">
        <v>177900000</v>
      </c>
      <c r="AO41" s="626"/>
      <c r="AP41" s="595" t="s">
        <v>274</v>
      </c>
      <c r="AT41" s="620">
        <f t="shared" si="4"/>
        <v>33000000</v>
      </c>
      <c r="AU41" s="620">
        <f t="shared" si="5"/>
        <v>33000000</v>
      </c>
      <c r="AV41" s="620">
        <f t="shared" si="6"/>
        <v>0</v>
      </c>
      <c r="AW41" s="620">
        <f t="shared" si="7"/>
        <v>0</v>
      </c>
      <c r="AX41" s="620">
        <f t="shared" si="8"/>
        <v>0</v>
      </c>
      <c r="AY41" s="620">
        <f t="shared" si="9"/>
        <v>0</v>
      </c>
      <c r="AZ41" s="620">
        <f t="shared" si="10"/>
        <v>33000000</v>
      </c>
      <c r="BA41" s="620">
        <f t="shared" si="11"/>
        <v>33000000</v>
      </c>
      <c r="BB41" s="620">
        <f t="shared" si="12"/>
        <v>0</v>
      </c>
    </row>
    <row r="42" spans="1:54" s="581" customFormat="1" ht="29.25" customHeight="1" x14ac:dyDescent="0.25">
      <c r="A42" s="147">
        <v>17</v>
      </c>
      <c r="B42" s="120" t="s">
        <v>266</v>
      </c>
      <c r="C42" s="120"/>
      <c r="D42" s="120"/>
      <c r="E42" s="125">
        <f t="shared" si="61"/>
        <v>53672193</v>
      </c>
      <c r="F42" s="635">
        <f t="shared" ref="F42:G42" si="76">I42+L42</f>
        <v>53672193</v>
      </c>
      <c r="G42" s="635">
        <f t="shared" si="76"/>
        <v>0</v>
      </c>
      <c r="H42" s="125"/>
      <c r="I42" s="130"/>
      <c r="J42" s="130"/>
      <c r="K42" s="124">
        <f t="shared" si="63"/>
        <v>53672193</v>
      </c>
      <c r="L42" s="134">
        <v>53672193</v>
      </c>
      <c r="M42" s="130"/>
      <c r="N42" s="125"/>
      <c r="O42" s="625"/>
      <c r="P42" s="625"/>
      <c r="Q42" s="125"/>
      <c r="R42" s="126"/>
      <c r="S42" s="126"/>
      <c r="T42" s="125"/>
      <c r="U42" s="126"/>
      <c r="V42" s="126"/>
      <c r="W42" s="125">
        <f t="shared" ref="W42" si="77">X42+Y42</f>
        <v>53672193</v>
      </c>
      <c r="X42" s="625">
        <f t="shared" ref="X42:Y42" si="78">AA42+AD42</f>
        <v>53672193</v>
      </c>
      <c r="Y42" s="625">
        <f t="shared" si="78"/>
        <v>0</v>
      </c>
      <c r="Z42" s="130"/>
      <c r="AA42" s="130"/>
      <c r="AB42" s="130"/>
      <c r="AC42" s="124">
        <f t="shared" ref="AC42" si="79">AD42+AE42</f>
        <v>53672193</v>
      </c>
      <c r="AD42" s="134">
        <v>53672193</v>
      </c>
      <c r="AE42" s="130"/>
      <c r="AF42" s="125">
        <f t="shared" ref="AF42" si="80">AG42+AH42</f>
        <v>0</v>
      </c>
      <c r="AG42" s="625">
        <f t="shared" ref="AG42" si="81">AJ42+AM42</f>
        <v>0</v>
      </c>
      <c r="AH42" s="625">
        <f t="shared" ref="AH42" si="82">AK42+AN42</f>
        <v>0</v>
      </c>
      <c r="AI42" s="130">
        <f t="shared" ref="AI42" si="83">AJ42+AK42</f>
        <v>0</v>
      </c>
      <c r="AJ42" s="130"/>
      <c r="AK42" s="130"/>
      <c r="AL42" s="130">
        <f t="shared" ref="AL42" si="84">AM42+AN42</f>
        <v>0</v>
      </c>
      <c r="AM42" s="130"/>
      <c r="AN42" s="130"/>
      <c r="AO42" s="626"/>
      <c r="AP42" s="595"/>
      <c r="AT42" s="620">
        <f t="shared" si="4"/>
        <v>53672193</v>
      </c>
      <c r="AU42" s="620">
        <f t="shared" si="5"/>
        <v>53672193</v>
      </c>
      <c r="AV42" s="620">
        <f t="shared" si="6"/>
        <v>0</v>
      </c>
      <c r="AW42" s="620">
        <f t="shared" si="7"/>
        <v>0</v>
      </c>
      <c r="AX42" s="620">
        <f t="shared" si="8"/>
        <v>0</v>
      </c>
      <c r="AY42" s="620">
        <f t="shared" si="9"/>
        <v>0</v>
      </c>
      <c r="AZ42" s="620">
        <f t="shared" si="10"/>
        <v>53672193</v>
      </c>
      <c r="BA42" s="620">
        <f t="shared" si="11"/>
        <v>53672193</v>
      </c>
      <c r="BB42" s="620">
        <f t="shared" si="12"/>
        <v>0</v>
      </c>
    </row>
    <row r="43" spans="1:54" s="595" customFormat="1" ht="26.25" customHeight="1" x14ac:dyDescent="0.25">
      <c r="A43" s="148" t="s">
        <v>49</v>
      </c>
      <c r="B43" s="108" t="s">
        <v>278</v>
      </c>
      <c r="C43" s="108" t="s">
        <v>196</v>
      </c>
      <c r="D43" s="108"/>
      <c r="E43" s="113">
        <f>SUM(E44:E50)</f>
        <v>786907944</v>
      </c>
      <c r="F43" s="113">
        <f t="shared" ref="F43:AN43" si="85">SUM(F44:F50)</f>
        <v>695907944</v>
      </c>
      <c r="G43" s="113">
        <f t="shared" si="85"/>
        <v>91000000</v>
      </c>
      <c r="H43" s="113">
        <f t="shared" si="85"/>
        <v>200907944</v>
      </c>
      <c r="I43" s="113">
        <f t="shared" si="85"/>
        <v>165907944</v>
      </c>
      <c r="J43" s="113">
        <f t="shared" si="85"/>
        <v>35000000</v>
      </c>
      <c r="K43" s="113">
        <f t="shared" si="85"/>
        <v>586000000</v>
      </c>
      <c r="L43" s="113">
        <f t="shared" si="85"/>
        <v>530000000.00000006</v>
      </c>
      <c r="M43" s="113">
        <f t="shared" si="85"/>
        <v>56000000</v>
      </c>
      <c r="N43" s="113">
        <f t="shared" si="85"/>
        <v>723710149</v>
      </c>
      <c r="O43" s="113">
        <f t="shared" si="85"/>
        <v>660056830</v>
      </c>
      <c r="P43" s="113">
        <f t="shared" si="85"/>
        <v>63653319</v>
      </c>
      <c r="Q43" s="113">
        <f t="shared" si="85"/>
        <v>148352414</v>
      </c>
      <c r="R43" s="113">
        <f t="shared" si="85"/>
        <v>140699095</v>
      </c>
      <c r="S43" s="113">
        <f t="shared" si="85"/>
        <v>7653319</v>
      </c>
      <c r="T43" s="113">
        <f t="shared" si="85"/>
        <v>575357735</v>
      </c>
      <c r="U43" s="113">
        <f t="shared" si="85"/>
        <v>519357735.00000006</v>
      </c>
      <c r="V43" s="113">
        <f t="shared" si="85"/>
        <v>56000000</v>
      </c>
      <c r="W43" s="113">
        <f t="shared" si="85"/>
        <v>63197795</v>
      </c>
      <c r="X43" s="113">
        <f t="shared" si="85"/>
        <v>35851114</v>
      </c>
      <c r="Y43" s="113">
        <f t="shared" si="85"/>
        <v>27346681</v>
      </c>
      <c r="Z43" s="113">
        <f t="shared" si="85"/>
        <v>52555530</v>
      </c>
      <c r="AA43" s="113">
        <f t="shared" si="85"/>
        <v>25208849</v>
      </c>
      <c r="AB43" s="113">
        <f t="shared" si="85"/>
        <v>27346681</v>
      </c>
      <c r="AC43" s="113">
        <f t="shared" si="85"/>
        <v>10642265</v>
      </c>
      <c r="AD43" s="113">
        <f t="shared" si="85"/>
        <v>10642265</v>
      </c>
      <c r="AE43" s="113">
        <f t="shared" si="85"/>
        <v>0</v>
      </c>
      <c r="AF43" s="113">
        <f t="shared" si="85"/>
        <v>723710149</v>
      </c>
      <c r="AG43" s="113">
        <f t="shared" si="85"/>
        <v>660056830</v>
      </c>
      <c r="AH43" s="113">
        <f t="shared" si="85"/>
        <v>63653319</v>
      </c>
      <c r="AI43" s="113">
        <f t="shared" si="85"/>
        <v>148352414</v>
      </c>
      <c r="AJ43" s="113">
        <f t="shared" si="85"/>
        <v>140699095</v>
      </c>
      <c r="AK43" s="113">
        <f t="shared" si="85"/>
        <v>7653319</v>
      </c>
      <c r="AL43" s="113">
        <f t="shared" si="85"/>
        <v>575357735</v>
      </c>
      <c r="AM43" s="113">
        <f t="shared" si="85"/>
        <v>519357735.00000006</v>
      </c>
      <c r="AN43" s="113">
        <f t="shared" si="85"/>
        <v>56000000</v>
      </c>
      <c r="AO43" s="630"/>
      <c r="AT43" s="620">
        <f t="shared" si="4"/>
        <v>63197795</v>
      </c>
      <c r="AU43" s="620">
        <f t="shared" si="5"/>
        <v>35851114</v>
      </c>
      <c r="AV43" s="620">
        <f t="shared" si="6"/>
        <v>27346681</v>
      </c>
      <c r="AW43" s="620">
        <f t="shared" si="7"/>
        <v>52555530</v>
      </c>
      <c r="AX43" s="620">
        <f t="shared" si="8"/>
        <v>25208849</v>
      </c>
      <c r="AY43" s="620">
        <f t="shared" si="9"/>
        <v>27346681</v>
      </c>
      <c r="AZ43" s="620">
        <f t="shared" si="10"/>
        <v>10642265</v>
      </c>
      <c r="BA43" s="620">
        <f t="shared" si="11"/>
        <v>10642265</v>
      </c>
      <c r="BB43" s="620">
        <f t="shared" si="12"/>
        <v>0</v>
      </c>
    </row>
    <row r="44" spans="1:54" s="581" customFormat="1" ht="29.25" customHeight="1" x14ac:dyDescent="0.25">
      <c r="A44" s="147">
        <v>1</v>
      </c>
      <c r="B44" s="120" t="s">
        <v>357</v>
      </c>
      <c r="C44" s="131" t="s">
        <v>337</v>
      </c>
      <c r="D44" s="131" t="s">
        <v>273</v>
      </c>
      <c r="E44" s="125">
        <f t="shared" ref="E44:E50" si="86">F44+G44</f>
        <v>575357735</v>
      </c>
      <c r="F44" s="625">
        <f t="shared" ref="F44:G50" si="87">I44+L44</f>
        <v>519357735.00000006</v>
      </c>
      <c r="G44" s="625">
        <f t="shared" si="87"/>
        <v>56000000</v>
      </c>
      <c r="H44" s="125">
        <f t="shared" si="44"/>
        <v>0</v>
      </c>
      <c r="I44" s="126">
        <v>0</v>
      </c>
      <c r="J44" s="126">
        <v>0</v>
      </c>
      <c r="K44" s="125">
        <f t="shared" ref="K44:K50" si="88">L44+M44</f>
        <v>575357735</v>
      </c>
      <c r="L44" s="126">
        <v>519357735.00000006</v>
      </c>
      <c r="M44" s="126">
        <v>56000000</v>
      </c>
      <c r="N44" s="125">
        <f t="shared" ref="N44:N49" si="89">O44+P44</f>
        <v>575357735</v>
      </c>
      <c r="O44" s="625">
        <f t="shared" ref="O44:P49" si="90">R44+U44</f>
        <v>519357735.00000006</v>
      </c>
      <c r="P44" s="625">
        <f t="shared" si="90"/>
        <v>56000000</v>
      </c>
      <c r="Q44" s="125">
        <f t="shared" ref="Q44:Q49" si="91">R44+S44</f>
        <v>0</v>
      </c>
      <c r="R44" s="126">
        <v>0</v>
      </c>
      <c r="S44" s="126">
        <v>0</v>
      </c>
      <c r="T44" s="125">
        <f t="shared" ref="T44:T49" si="92">U44+V44</f>
        <v>575357735</v>
      </c>
      <c r="U44" s="126">
        <v>519357735.00000006</v>
      </c>
      <c r="V44" s="126">
        <v>56000000</v>
      </c>
      <c r="W44" s="125">
        <f t="shared" ref="W44:W46" si="93">X44+Y44</f>
        <v>0</v>
      </c>
      <c r="X44" s="625">
        <f t="shared" ref="X44:Y46" si="94">AA44+AD44</f>
        <v>0</v>
      </c>
      <c r="Y44" s="625">
        <f t="shared" si="94"/>
        <v>0</v>
      </c>
      <c r="Z44" s="130">
        <v>0</v>
      </c>
      <c r="AA44" s="130">
        <v>0</v>
      </c>
      <c r="AB44" s="130">
        <v>0</v>
      </c>
      <c r="AC44" s="130"/>
      <c r="AD44" s="130"/>
      <c r="AE44" s="130">
        <v>0</v>
      </c>
      <c r="AF44" s="125">
        <f t="shared" ref="AF44:AF46" si="95">AG44+AH44</f>
        <v>575357735</v>
      </c>
      <c r="AG44" s="625">
        <f t="shared" ref="AG44:AG46" si="96">AJ44+AM44</f>
        <v>519357735.00000006</v>
      </c>
      <c r="AH44" s="625">
        <f t="shared" ref="AH44:AH46" si="97">AK44+AN44</f>
        <v>56000000</v>
      </c>
      <c r="AI44" s="125">
        <f t="shared" ref="AI44:AI46" si="98">AJ44+AK44</f>
        <v>0</v>
      </c>
      <c r="AJ44" s="126">
        <v>0</v>
      </c>
      <c r="AK44" s="126">
        <v>0</v>
      </c>
      <c r="AL44" s="125">
        <f t="shared" ref="AL44:AL46" si="99">AM44+AN44</f>
        <v>575357735</v>
      </c>
      <c r="AM44" s="126">
        <v>519357735.00000006</v>
      </c>
      <c r="AN44" s="126">
        <v>56000000</v>
      </c>
      <c r="AO44" s="626"/>
      <c r="AP44" s="595" t="s">
        <v>273</v>
      </c>
      <c r="AT44" s="620">
        <f t="shared" si="4"/>
        <v>0</v>
      </c>
      <c r="AU44" s="620">
        <f t="shared" si="5"/>
        <v>0</v>
      </c>
      <c r="AV44" s="620">
        <f t="shared" si="6"/>
        <v>0</v>
      </c>
      <c r="AW44" s="620">
        <f t="shared" si="7"/>
        <v>0</v>
      </c>
      <c r="AX44" s="620">
        <f t="shared" si="8"/>
        <v>0</v>
      </c>
      <c r="AY44" s="620">
        <f t="shared" si="9"/>
        <v>0</v>
      </c>
      <c r="AZ44" s="620">
        <f t="shared" si="10"/>
        <v>0</v>
      </c>
      <c r="BA44" s="620">
        <f t="shared" si="11"/>
        <v>0</v>
      </c>
      <c r="BB44" s="620">
        <f t="shared" si="12"/>
        <v>0</v>
      </c>
    </row>
    <row r="45" spans="1:54" s="581" customFormat="1" ht="29.25" customHeight="1" x14ac:dyDescent="0.25">
      <c r="A45" s="147">
        <v>2</v>
      </c>
      <c r="B45" s="120" t="s">
        <v>358</v>
      </c>
      <c r="C45" s="120" t="s">
        <v>339</v>
      </c>
      <c r="D45" s="120" t="s">
        <v>273</v>
      </c>
      <c r="E45" s="125">
        <f t="shared" si="86"/>
        <v>62998306</v>
      </c>
      <c r="F45" s="625">
        <f t="shared" si="87"/>
        <v>32998306</v>
      </c>
      <c r="G45" s="625">
        <f t="shared" si="87"/>
        <v>30000000</v>
      </c>
      <c r="H45" s="125">
        <f t="shared" si="44"/>
        <v>62998306</v>
      </c>
      <c r="I45" s="126">
        <v>32998306</v>
      </c>
      <c r="J45" s="126">
        <v>30000000</v>
      </c>
      <c r="K45" s="125">
        <f t="shared" si="88"/>
        <v>0</v>
      </c>
      <c r="L45" s="126">
        <v>0</v>
      </c>
      <c r="M45" s="126">
        <v>0</v>
      </c>
      <c r="N45" s="125">
        <f t="shared" si="89"/>
        <v>35651625</v>
      </c>
      <c r="O45" s="625">
        <f t="shared" si="90"/>
        <v>32998306</v>
      </c>
      <c r="P45" s="625">
        <f t="shared" si="90"/>
        <v>2653319</v>
      </c>
      <c r="Q45" s="125">
        <f t="shared" si="91"/>
        <v>35651625</v>
      </c>
      <c r="R45" s="126">
        <v>32998306</v>
      </c>
      <c r="S45" s="126">
        <v>2653319</v>
      </c>
      <c r="T45" s="125">
        <f t="shared" si="92"/>
        <v>0</v>
      </c>
      <c r="U45" s="126">
        <v>0</v>
      </c>
      <c r="V45" s="126">
        <v>0</v>
      </c>
      <c r="W45" s="125">
        <f t="shared" si="93"/>
        <v>27346681</v>
      </c>
      <c r="X45" s="625">
        <f t="shared" si="94"/>
        <v>0</v>
      </c>
      <c r="Y45" s="625">
        <f t="shared" si="94"/>
        <v>27346681</v>
      </c>
      <c r="Z45" s="130">
        <v>27346681</v>
      </c>
      <c r="AA45" s="130">
        <v>0</v>
      </c>
      <c r="AB45" s="130">
        <v>27346681</v>
      </c>
      <c r="AC45" s="130">
        <v>0</v>
      </c>
      <c r="AD45" s="130">
        <v>0</v>
      </c>
      <c r="AE45" s="130">
        <v>0</v>
      </c>
      <c r="AF45" s="125">
        <f t="shared" si="95"/>
        <v>35651625</v>
      </c>
      <c r="AG45" s="625">
        <f t="shared" si="96"/>
        <v>32998306</v>
      </c>
      <c r="AH45" s="625">
        <f t="shared" si="97"/>
        <v>2653319</v>
      </c>
      <c r="AI45" s="125">
        <f t="shared" si="98"/>
        <v>35651625</v>
      </c>
      <c r="AJ45" s="126">
        <v>32998306</v>
      </c>
      <c r="AK45" s="126">
        <v>2653319</v>
      </c>
      <c r="AL45" s="125">
        <f t="shared" si="99"/>
        <v>0</v>
      </c>
      <c r="AM45" s="126">
        <v>0</v>
      </c>
      <c r="AN45" s="126">
        <v>0</v>
      </c>
      <c r="AO45" s="626"/>
      <c r="AP45" s="595" t="s">
        <v>273</v>
      </c>
      <c r="AT45" s="620">
        <f t="shared" si="4"/>
        <v>27346681</v>
      </c>
      <c r="AU45" s="620">
        <f t="shared" si="5"/>
        <v>0</v>
      </c>
      <c r="AV45" s="620">
        <f t="shared" si="6"/>
        <v>27346681</v>
      </c>
      <c r="AW45" s="620">
        <f t="shared" si="7"/>
        <v>27346681</v>
      </c>
      <c r="AX45" s="620">
        <f t="shared" si="8"/>
        <v>0</v>
      </c>
      <c r="AY45" s="620">
        <f t="shared" si="9"/>
        <v>27346681</v>
      </c>
      <c r="AZ45" s="620">
        <f t="shared" si="10"/>
        <v>0</v>
      </c>
      <c r="BA45" s="620">
        <f t="shared" si="11"/>
        <v>0</v>
      </c>
      <c r="BB45" s="620">
        <f t="shared" si="12"/>
        <v>0</v>
      </c>
    </row>
    <row r="46" spans="1:54" s="581" customFormat="1" ht="50.25" customHeight="1" x14ac:dyDescent="0.25">
      <c r="A46" s="147">
        <v>3</v>
      </c>
      <c r="B46" s="120" t="s">
        <v>359</v>
      </c>
      <c r="C46" s="120" t="s">
        <v>339</v>
      </c>
      <c r="D46" s="120" t="s">
        <v>273</v>
      </c>
      <c r="E46" s="125">
        <f t="shared" si="86"/>
        <v>13683638</v>
      </c>
      <c r="F46" s="625">
        <f t="shared" si="87"/>
        <v>13683638</v>
      </c>
      <c r="G46" s="625">
        <f t="shared" si="87"/>
        <v>0</v>
      </c>
      <c r="H46" s="125">
        <f t="shared" si="44"/>
        <v>13683638</v>
      </c>
      <c r="I46" s="126">
        <v>13683638</v>
      </c>
      <c r="J46" s="126">
        <v>0</v>
      </c>
      <c r="K46" s="125">
        <f t="shared" si="88"/>
        <v>0</v>
      </c>
      <c r="L46" s="126">
        <v>0</v>
      </c>
      <c r="M46" s="126">
        <v>0</v>
      </c>
      <c r="N46" s="125">
        <f t="shared" si="89"/>
        <v>5317737</v>
      </c>
      <c r="O46" s="625">
        <f t="shared" si="90"/>
        <v>5317737</v>
      </c>
      <c r="P46" s="625">
        <f t="shared" si="90"/>
        <v>0</v>
      </c>
      <c r="Q46" s="125">
        <f t="shared" si="91"/>
        <v>5317737</v>
      </c>
      <c r="R46" s="126">
        <v>5317737</v>
      </c>
      <c r="S46" s="126">
        <v>0</v>
      </c>
      <c r="T46" s="125">
        <f t="shared" si="92"/>
        <v>0</v>
      </c>
      <c r="U46" s="126">
        <v>0</v>
      </c>
      <c r="V46" s="126">
        <v>0</v>
      </c>
      <c r="W46" s="125">
        <f t="shared" si="93"/>
        <v>8365901</v>
      </c>
      <c r="X46" s="625">
        <f t="shared" si="94"/>
        <v>8365901</v>
      </c>
      <c r="Y46" s="625">
        <f t="shared" si="94"/>
        <v>0</v>
      </c>
      <c r="Z46" s="130">
        <v>8365901</v>
      </c>
      <c r="AA46" s="130">
        <v>8365901</v>
      </c>
      <c r="AB46" s="130">
        <v>0</v>
      </c>
      <c r="AC46" s="130">
        <v>0</v>
      </c>
      <c r="AD46" s="130">
        <v>0</v>
      </c>
      <c r="AE46" s="130">
        <v>0</v>
      </c>
      <c r="AF46" s="125">
        <f t="shared" si="95"/>
        <v>5317737</v>
      </c>
      <c r="AG46" s="625">
        <f t="shared" si="96"/>
        <v>5317737</v>
      </c>
      <c r="AH46" s="625">
        <f t="shared" si="97"/>
        <v>0</v>
      </c>
      <c r="AI46" s="125">
        <f t="shared" si="98"/>
        <v>5317737</v>
      </c>
      <c r="AJ46" s="126">
        <v>5317737</v>
      </c>
      <c r="AK46" s="126">
        <v>0</v>
      </c>
      <c r="AL46" s="125">
        <f t="shared" si="99"/>
        <v>0</v>
      </c>
      <c r="AM46" s="126">
        <v>0</v>
      </c>
      <c r="AN46" s="126">
        <v>0</v>
      </c>
      <c r="AO46" s="626"/>
      <c r="AP46" s="595" t="s">
        <v>273</v>
      </c>
      <c r="AT46" s="620">
        <f t="shared" si="4"/>
        <v>8365901</v>
      </c>
      <c r="AU46" s="620">
        <f t="shared" si="5"/>
        <v>8365901</v>
      </c>
      <c r="AV46" s="620">
        <f t="shared" si="6"/>
        <v>0</v>
      </c>
      <c r="AW46" s="620">
        <f t="shared" si="7"/>
        <v>8365901</v>
      </c>
      <c r="AX46" s="620">
        <f t="shared" si="8"/>
        <v>8365901</v>
      </c>
      <c r="AY46" s="620">
        <f t="shared" si="9"/>
        <v>0</v>
      </c>
      <c r="AZ46" s="620">
        <f t="shared" si="10"/>
        <v>0</v>
      </c>
      <c r="BA46" s="620">
        <f t="shared" si="11"/>
        <v>0</v>
      </c>
      <c r="BB46" s="620">
        <f t="shared" si="12"/>
        <v>0</v>
      </c>
    </row>
    <row r="47" spans="1:54" s="581" customFormat="1" ht="27.75" customHeight="1" x14ac:dyDescent="0.25">
      <c r="A47" s="147">
        <v>4</v>
      </c>
      <c r="B47" s="120" t="s">
        <v>360</v>
      </c>
      <c r="C47" s="120" t="s">
        <v>339</v>
      </c>
      <c r="D47" s="120" t="s">
        <v>273</v>
      </c>
      <c r="E47" s="125">
        <f>F47+G47</f>
        <v>5000000</v>
      </c>
      <c r="F47" s="625">
        <f>I47+L47</f>
        <v>0</v>
      </c>
      <c r="G47" s="625">
        <f>J47+M47</f>
        <v>5000000</v>
      </c>
      <c r="H47" s="125">
        <f>I47+J47</f>
        <v>5000000</v>
      </c>
      <c r="I47" s="126">
        <v>0</v>
      </c>
      <c r="J47" s="126">
        <v>5000000</v>
      </c>
      <c r="K47" s="125">
        <f>L47+M47</f>
        <v>0</v>
      </c>
      <c r="L47" s="126">
        <v>0</v>
      </c>
      <c r="M47" s="126">
        <v>0</v>
      </c>
      <c r="N47" s="125">
        <f>O47+P47</f>
        <v>5000000</v>
      </c>
      <c r="O47" s="625">
        <f>R47+U47</f>
        <v>0</v>
      </c>
      <c r="P47" s="625">
        <f>S47+V47</f>
        <v>5000000</v>
      </c>
      <c r="Q47" s="125">
        <f>R47+S47</f>
        <v>5000000</v>
      </c>
      <c r="R47" s="126">
        <v>0</v>
      </c>
      <c r="S47" s="126">
        <v>5000000</v>
      </c>
      <c r="T47" s="125">
        <f>U47+V47</f>
        <v>0</v>
      </c>
      <c r="U47" s="126">
        <v>0</v>
      </c>
      <c r="V47" s="126">
        <v>0</v>
      </c>
      <c r="W47" s="130"/>
      <c r="X47" s="130"/>
      <c r="Y47" s="130"/>
      <c r="Z47" s="130"/>
      <c r="AA47" s="130"/>
      <c r="AB47" s="130"/>
      <c r="AC47" s="130"/>
      <c r="AD47" s="130"/>
      <c r="AE47" s="130"/>
      <c r="AF47" s="125">
        <f>AG47+AH47</f>
        <v>5000000</v>
      </c>
      <c r="AG47" s="625">
        <f>AJ47+AM47</f>
        <v>0</v>
      </c>
      <c r="AH47" s="625">
        <f>AK47+AN47</f>
        <v>5000000</v>
      </c>
      <c r="AI47" s="125">
        <f>AJ47+AK47</f>
        <v>5000000</v>
      </c>
      <c r="AJ47" s="126">
        <v>0</v>
      </c>
      <c r="AK47" s="126">
        <v>5000000</v>
      </c>
      <c r="AL47" s="125">
        <f>AM47+AN47</f>
        <v>0</v>
      </c>
      <c r="AM47" s="126">
        <v>0</v>
      </c>
      <c r="AN47" s="126">
        <v>0</v>
      </c>
      <c r="AO47" s="626"/>
      <c r="AP47" s="595" t="s">
        <v>273</v>
      </c>
      <c r="AT47" s="620">
        <f t="shared" si="4"/>
        <v>0</v>
      </c>
      <c r="AU47" s="620">
        <f t="shared" si="5"/>
        <v>0</v>
      </c>
      <c r="AV47" s="620">
        <f t="shared" si="6"/>
        <v>0</v>
      </c>
      <c r="AW47" s="620">
        <f t="shared" si="7"/>
        <v>0</v>
      </c>
      <c r="AX47" s="620">
        <f t="shared" si="8"/>
        <v>0</v>
      </c>
      <c r="AY47" s="620">
        <f t="shared" si="9"/>
        <v>0</v>
      </c>
      <c r="AZ47" s="620">
        <f t="shared" si="10"/>
        <v>0</v>
      </c>
      <c r="BA47" s="620">
        <f t="shared" si="11"/>
        <v>0</v>
      </c>
      <c r="BB47" s="620">
        <f t="shared" si="12"/>
        <v>0</v>
      </c>
    </row>
    <row r="48" spans="1:54" s="581" customFormat="1" ht="27.75" customHeight="1" x14ac:dyDescent="0.25">
      <c r="A48" s="147">
        <v>5</v>
      </c>
      <c r="B48" s="120" t="s">
        <v>361</v>
      </c>
      <c r="C48" s="131" t="s">
        <v>333</v>
      </c>
      <c r="D48" s="131" t="s">
        <v>273</v>
      </c>
      <c r="E48" s="125">
        <f t="shared" si="86"/>
        <v>89192000</v>
      </c>
      <c r="F48" s="625">
        <f t="shared" si="87"/>
        <v>89192000</v>
      </c>
      <c r="G48" s="625">
        <f t="shared" si="87"/>
        <v>0</v>
      </c>
      <c r="H48" s="125">
        <f t="shared" si="44"/>
        <v>89192000</v>
      </c>
      <c r="I48" s="126">
        <v>89192000</v>
      </c>
      <c r="J48" s="126">
        <v>0</v>
      </c>
      <c r="K48" s="125">
        <f t="shared" si="88"/>
        <v>0</v>
      </c>
      <c r="L48" s="126">
        <v>0</v>
      </c>
      <c r="M48" s="126">
        <v>0</v>
      </c>
      <c r="N48" s="125">
        <f t="shared" si="89"/>
        <v>88969052</v>
      </c>
      <c r="O48" s="625">
        <f t="shared" si="90"/>
        <v>88969052</v>
      </c>
      <c r="P48" s="625">
        <f t="shared" si="90"/>
        <v>0</v>
      </c>
      <c r="Q48" s="125">
        <f t="shared" si="91"/>
        <v>88969052</v>
      </c>
      <c r="R48" s="126">
        <v>88969052</v>
      </c>
      <c r="S48" s="126">
        <v>0</v>
      </c>
      <c r="T48" s="125">
        <f t="shared" si="92"/>
        <v>0</v>
      </c>
      <c r="U48" s="126">
        <v>0</v>
      </c>
      <c r="V48" s="126">
        <v>0</v>
      </c>
      <c r="W48" s="125">
        <f t="shared" ref="W48" si="100">X48+Y48</f>
        <v>222948</v>
      </c>
      <c r="X48" s="625">
        <f t="shared" ref="X48:Y48" si="101">AA48+AD48</f>
        <v>222948</v>
      </c>
      <c r="Y48" s="625">
        <f t="shared" si="101"/>
        <v>0</v>
      </c>
      <c r="Z48" s="130">
        <v>222948</v>
      </c>
      <c r="AA48" s="130">
        <v>222948</v>
      </c>
      <c r="AB48" s="130">
        <v>0</v>
      </c>
      <c r="AC48" s="130">
        <v>0</v>
      </c>
      <c r="AD48" s="130">
        <v>0</v>
      </c>
      <c r="AE48" s="130">
        <v>0</v>
      </c>
      <c r="AF48" s="125">
        <f t="shared" ref="AF48:AF49" si="102">AG48+AH48</f>
        <v>88969052</v>
      </c>
      <c r="AG48" s="625">
        <f t="shared" ref="AG48:AG49" si="103">AJ48+AM48</f>
        <v>88969052</v>
      </c>
      <c r="AH48" s="625">
        <f t="shared" ref="AH48:AH49" si="104">AK48+AN48</f>
        <v>0</v>
      </c>
      <c r="AI48" s="125">
        <f t="shared" ref="AI48:AI49" si="105">AJ48+AK48</f>
        <v>88969052</v>
      </c>
      <c r="AJ48" s="126">
        <v>88969052</v>
      </c>
      <c r="AK48" s="126">
        <v>0</v>
      </c>
      <c r="AL48" s="125">
        <f t="shared" ref="AL48:AL49" si="106">AM48+AN48</f>
        <v>0</v>
      </c>
      <c r="AM48" s="126">
        <v>0</v>
      </c>
      <c r="AN48" s="126">
        <v>0</v>
      </c>
      <c r="AO48" s="626"/>
      <c r="AP48" s="595" t="s">
        <v>273</v>
      </c>
      <c r="AT48" s="620">
        <f t="shared" si="4"/>
        <v>222948</v>
      </c>
      <c r="AU48" s="620">
        <f t="shared" si="5"/>
        <v>222948</v>
      </c>
      <c r="AV48" s="620">
        <f t="shared" si="6"/>
        <v>0</v>
      </c>
      <c r="AW48" s="620">
        <f t="shared" si="7"/>
        <v>222948</v>
      </c>
      <c r="AX48" s="620">
        <f t="shared" si="8"/>
        <v>222948</v>
      </c>
      <c r="AY48" s="620">
        <f t="shared" si="9"/>
        <v>0</v>
      </c>
      <c r="AZ48" s="620">
        <f t="shared" si="10"/>
        <v>0</v>
      </c>
      <c r="BA48" s="620">
        <f t="shared" si="11"/>
        <v>0</v>
      </c>
      <c r="BB48" s="620">
        <f t="shared" si="12"/>
        <v>0</v>
      </c>
    </row>
    <row r="49" spans="1:54" s="581" customFormat="1" ht="27.75" customHeight="1" x14ac:dyDescent="0.25">
      <c r="A49" s="147">
        <v>6</v>
      </c>
      <c r="B49" s="120" t="s">
        <v>362</v>
      </c>
      <c r="C49" s="131" t="s">
        <v>333</v>
      </c>
      <c r="D49" s="131" t="s">
        <v>273</v>
      </c>
      <c r="E49" s="125">
        <f t="shared" si="86"/>
        <v>13414000</v>
      </c>
      <c r="F49" s="625">
        <f t="shared" si="87"/>
        <v>13414000</v>
      </c>
      <c r="G49" s="625">
        <f t="shared" si="87"/>
        <v>0</v>
      </c>
      <c r="H49" s="125">
        <f t="shared" si="44"/>
        <v>13414000</v>
      </c>
      <c r="I49" s="126">
        <v>13414000</v>
      </c>
      <c r="J49" s="126">
        <v>0</v>
      </c>
      <c r="K49" s="125">
        <f t="shared" si="88"/>
        <v>0</v>
      </c>
      <c r="L49" s="126">
        <v>0</v>
      </c>
      <c r="M49" s="126">
        <v>0</v>
      </c>
      <c r="N49" s="125">
        <f t="shared" si="89"/>
        <v>13414000</v>
      </c>
      <c r="O49" s="625">
        <f t="shared" si="90"/>
        <v>13414000</v>
      </c>
      <c r="P49" s="625">
        <f t="shared" si="90"/>
        <v>0</v>
      </c>
      <c r="Q49" s="125">
        <f t="shared" si="91"/>
        <v>13414000</v>
      </c>
      <c r="R49" s="126">
        <v>13414000</v>
      </c>
      <c r="S49" s="126">
        <v>0</v>
      </c>
      <c r="T49" s="125">
        <f t="shared" si="92"/>
        <v>0</v>
      </c>
      <c r="U49" s="126">
        <v>0</v>
      </c>
      <c r="V49" s="126">
        <v>0</v>
      </c>
      <c r="W49" s="130"/>
      <c r="X49" s="130"/>
      <c r="Y49" s="130"/>
      <c r="Z49" s="130"/>
      <c r="AA49" s="130"/>
      <c r="AB49" s="130"/>
      <c r="AC49" s="130"/>
      <c r="AD49" s="130"/>
      <c r="AE49" s="130"/>
      <c r="AF49" s="125">
        <f t="shared" si="102"/>
        <v>13414000</v>
      </c>
      <c r="AG49" s="625">
        <f t="shared" si="103"/>
        <v>13414000</v>
      </c>
      <c r="AH49" s="625">
        <f t="shared" si="104"/>
        <v>0</v>
      </c>
      <c r="AI49" s="125">
        <f t="shared" si="105"/>
        <v>13414000</v>
      </c>
      <c r="AJ49" s="126">
        <v>13414000</v>
      </c>
      <c r="AK49" s="126">
        <v>0</v>
      </c>
      <c r="AL49" s="125">
        <f t="shared" si="106"/>
        <v>0</v>
      </c>
      <c r="AM49" s="126">
        <v>0</v>
      </c>
      <c r="AN49" s="126">
        <v>0</v>
      </c>
      <c r="AO49" s="626"/>
      <c r="AP49" s="595" t="s">
        <v>273</v>
      </c>
      <c r="AT49" s="620">
        <f t="shared" si="4"/>
        <v>0</v>
      </c>
      <c r="AU49" s="620">
        <f t="shared" si="5"/>
        <v>0</v>
      </c>
      <c r="AV49" s="620">
        <f t="shared" si="6"/>
        <v>0</v>
      </c>
      <c r="AW49" s="620">
        <f t="shared" si="7"/>
        <v>0</v>
      </c>
      <c r="AX49" s="620">
        <f t="shared" si="8"/>
        <v>0</v>
      </c>
      <c r="AY49" s="620">
        <f t="shared" si="9"/>
        <v>0</v>
      </c>
      <c r="AZ49" s="620">
        <f t="shared" si="10"/>
        <v>0</v>
      </c>
      <c r="BA49" s="620">
        <f t="shared" si="11"/>
        <v>0</v>
      </c>
      <c r="BB49" s="620">
        <f t="shared" si="12"/>
        <v>0</v>
      </c>
    </row>
    <row r="50" spans="1:54" s="581" customFormat="1" ht="42" customHeight="1" x14ac:dyDescent="0.25">
      <c r="A50" s="147">
        <v>7</v>
      </c>
      <c r="B50" s="120" t="s">
        <v>363</v>
      </c>
      <c r="C50" s="131"/>
      <c r="D50" s="131"/>
      <c r="E50" s="125">
        <f t="shared" si="86"/>
        <v>27262265</v>
      </c>
      <c r="F50" s="625">
        <f t="shared" si="87"/>
        <v>27262265</v>
      </c>
      <c r="G50" s="625">
        <f t="shared" si="87"/>
        <v>0</v>
      </c>
      <c r="H50" s="125">
        <f t="shared" si="44"/>
        <v>16620000</v>
      </c>
      <c r="I50" s="126">
        <v>16620000</v>
      </c>
      <c r="J50" s="126"/>
      <c r="K50" s="125">
        <f t="shared" si="88"/>
        <v>10642265</v>
      </c>
      <c r="L50" s="126">
        <v>10642265</v>
      </c>
      <c r="M50" s="126"/>
      <c r="N50" s="125"/>
      <c r="O50" s="625"/>
      <c r="P50" s="625"/>
      <c r="Q50" s="125"/>
      <c r="R50" s="126"/>
      <c r="S50" s="126"/>
      <c r="T50" s="125"/>
      <c r="U50" s="126"/>
      <c r="V50" s="126"/>
      <c r="W50" s="125">
        <f t="shared" ref="W50" si="107">X50+Y50</f>
        <v>27262265</v>
      </c>
      <c r="X50" s="625">
        <f t="shared" ref="X50:Y50" si="108">AA50+AD50</f>
        <v>27262265</v>
      </c>
      <c r="Y50" s="625">
        <f t="shared" si="108"/>
        <v>0</v>
      </c>
      <c r="Z50" s="125">
        <f t="shared" ref="Z50" si="109">AA50+AB50</f>
        <v>16620000</v>
      </c>
      <c r="AA50" s="126">
        <v>16620000</v>
      </c>
      <c r="AB50" s="126"/>
      <c r="AC50" s="125">
        <f t="shared" ref="AC50" si="110">AD50+AE50</f>
        <v>10642265</v>
      </c>
      <c r="AD50" s="126">
        <v>10642265</v>
      </c>
      <c r="AE50" s="126"/>
      <c r="AF50" s="125">
        <f t="shared" ref="AF50" si="111">AG50+AH50</f>
        <v>0</v>
      </c>
      <c r="AG50" s="625">
        <f t="shared" ref="AG50" si="112">AJ50+AM50</f>
        <v>0</v>
      </c>
      <c r="AH50" s="625">
        <f t="shared" ref="AH50" si="113">AK50+AN50</f>
        <v>0</v>
      </c>
      <c r="AI50" s="130">
        <f t="shared" ref="AI50" si="114">AJ50+AK50</f>
        <v>0</v>
      </c>
      <c r="AJ50" s="130"/>
      <c r="AK50" s="130"/>
      <c r="AL50" s="130">
        <f t="shared" ref="AL50" si="115">AM50+AN50</f>
        <v>0</v>
      </c>
      <c r="AM50" s="130"/>
      <c r="AN50" s="130"/>
      <c r="AO50" s="626"/>
      <c r="AP50" s="595"/>
      <c r="AT50" s="620">
        <f t="shared" si="4"/>
        <v>27262265</v>
      </c>
      <c r="AU50" s="620">
        <f t="shared" si="5"/>
        <v>27262265</v>
      </c>
      <c r="AV50" s="620">
        <f t="shared" si="6"/>
        <v>0</v>
      </c>
      <c r="AW50" s="620">
        <f t="shared" si="7"/>
        <v>16620000</v>
      </c>
      <c r="AX50" s="620">
        <f t="shared" si="8"/>
        <v>16620000</v>
      </c>
      <c r="AY50" s="620">
        <f t="shared" si="9"/>
        <v>0</v>
      </c>
      <c r="AZ50" s="620">
        <f t="shared" si="10"/>
        <v>10642265</v>
      </c>
      <c r="BA50" s="620">
        <f t="shared" si="11"/>
        <v>10642265</v>
      </c>
      <c r="BB50" s="620">
        <f t="shared" si="12"/>
        <v>0</v>
      </c>
    </row>
    <row r="51" spans="1:54" s="595" customFormat="1" ht="31.5" customHeight="1" x14ac:dyDescent="0.25">
      <c r="A51" s="148" t="s">
        <v>51</v>
      </c>
      <c r="B51" s="108" t="s">
        <v>364</v>
      </c>
      <c r="C51" s="108" t="s">
        <v>196</v>
      </c>
      <c r="D51" s="108"/>
      <c r="E51" s="113">
        <f t="shared" ref="E51:AN51" si="116">SUM(E52:E57)</f>
        <v>7852719695</v>
      </c>
      <c r="F51" s="113">
        <f t="shared" si="116"/>
        <v>0</v>
      </c>
      <c r="G51" s="113">
        <f t="shared" si="116"/>
        <v>7852719695</v>
      </c>
      <c r="H51" s="113">
        <f t="shared" si="116"/>
        <v>7758520695</v>
      </c>
      <c r="I51" s="113">
        <f t="shared" si="116"/>
        <v>0</v>
      </c>
      <c r="J51" s="113">
        <f t="shared" si="116"/>
        <v>7758520695</v>
      </c>
      <c r="K51" s="113">
        <f t="shared" si="116"/>
        <v>94199000</v>
      </c>
      <c r="L51" s="113">
        <f t="shared" si="116"/>
        <v>0</v>
      </c>
      <c r="M51" s="113">
        <f t="shared" si="116"/>
        <v>94199000</v>
      </c>
      <c r="N51" s="113">
        <f t="shared" si="116"/>
        <v>4057000718</v>
      </c>
      <c r="O51" s="113">
        <f t="shared" si="116"/>
        <v>0</v>
      </c>
      <c r="P51" s="113">
        <f t="shared" si="116"/>
        <v>4057000718</v>
      </c>
      <c r="Q51" s="113">
        <f t="shared" si="116"/>
        <v>3962801718</v>
      </c>
      <c r="R51" s="113">
        <f t="shared" si="116"/>
        <v>0</v>
      </c>
      <c r="S51" s="113">
        <f t="shared" si="116"/>
        <v>3962801718</v>
      </c>
      <c r="T51" s="113">
        <f t="shared" si="116"/>
        <v>94199000</v>
      </c>
      <c r="U51" s="113">
        <f t="shared" si="116"/>
        <v>0</v>
      </c>
      <c r="V51" s="113">
        <f t="shared" si="116"/>
        <v>94199000</v>
      </c>
      <c r="W51" s="113">
        <f t="shared" si="116"/>
        <v>335590965</v>
      </c>
      <c r="X51" s="113">
        <f t="shared" si="116"/>
        <v>0</v>
      </c>
      <c r="Y51" s="113">
        <f t="shared" si="116"/>
        <v>335590965</v>
      </c>
      <c r="Z51" s="113">
        <f t="shared" si="116"/>
        <v>335590965</v>
      </c>
      <c r="AA51" s="113">
        <f t="shared" si="116"/>
        <v>0</v>
      </c>
      <c r="AB51" s="113">
        <f t="shared" si="116"/>
        <v>335590965</v>
      </c>
      <c r="AC51" s="113">
        <f t="shared" si="116"/>
        <v>0</v>
      </c>
      <c r="AD51" s="113">
        <f t="shared" si="116"/>
        <v>0</v>
      </c>
      <c r="AE51" s="113">
        <f t="shared" si="116"/>
        <v>0</v>
      </c>
      <c r="AF51" s="113">
        <f t="shared" si="116"/>
        <v>4917128730</v>
      </c>
      <c r="AG51" s="113">
        <f t="shared" si="116"/>
        <v>0</v>
      </c>
      <c r="AH51" s="113">
        <f t="shared" si="116"/>
        <v>4917128730</v>
      </c>
      <c r="AI51" s="113">
        <f t="shared" si="116"/>
        <v>4822929730</v>
      </c>
      <c r="AJ51" s="113">
        <f t="shared" si="116"/>
        <v>0</v>
      </c>
      <c r="AK51" s="113">
        <f t="shared" si="116"/>
        <v>4822929730</v>
      </c>
      <c r="AL51" s="113">
        <f t="shared" si="116"/>
        <v>94199000</v>
      </c>
      <c r="AM51" s="113">
        <f t="shared" si="116"/>
        <v>0</v>
      </c>
      <c r="AN51" s="113">
        <f t="shared" si="116"/>
        <v>94199000</v>
      </c>
      <c r="AO51" s="630"/>
      <c r="AT51" s="620">
        <f t="shared" si="4"/>
        <v>2935590965</v>
      </c>
      <c r="AU51" s="620">
        <f t="shared" si="5"/>
        <v>0</v>
      </c>
      <c r="AV51" s="620">
        <f t="shared" si="6"/>
        <v>2935590965</v>
      </c>
      <c r="AW51" s="620">
        <f t="shared" si="7"/>
        <v>2935590965</v>
      </c>
      <c r="AX51" s="620">
        <f t="shared" si="8"/>
        <v>0</v>
      </c>
      <c r="AY51" s="620">
        <f t="shared" si="9"/>
        <v>2935590965</v>
      </c>
      <c r="AZ51" s="620">
        <f t="shared" si="10"/>
        <v>0</v>
      </c>
      <c r="BA51" s="620">
        <f t="shared" si="11"/>
        <v>0</v>
      </c>
      <c r="BB51" s="620">
        <f t="shared" si="12"/>
        <v>0</v>
      </c>
    </row>
    <row r="52" spans="1:54" s="581" customFormat="1" ht="41.25" customHeight="1" x14ac:dyDescent="0.25">
      <c r="A52" s="147">
        <v>1</v>
      </c>
      <c r="B52" s="120" t="s">
        <v>365</v>
      </c>
      <c r="C52" s="120" t="s">
        <v>323</v>
      </c>
      <c r="D52" s="120" t="s">
        <v>273</v>
      </c>
      <c r="E52" s="125">
        <f t="shared" ref="E52:E57" si="117">F52+G52</f>
        <v>668134000</v>
      </c>
      <c r="F52" s="625">
        <f t="shared" ref="F52:G57" si="118">I52+L52</f>
        <v>0</v>
      </c>
      <c r="G52" s="625">
        <f t="shared" si="118"/>
        <v>668134000</v>
      </c>
      <c r="H52" s="125">
        <f t="shared" si="44"/>
        <v>668134000</v>
      </c>
      <c r="I52" s="125"/>
      <c r="J52" s="126">
        <v>668134000</v>
      </c>
      <c r="K52" s="125">
        <f t="shared" ref="K52:K57" si="119">L52+M52</f>
        <v>0</v>
      </c>
      <c r="L52" s="126">
        <v>0</v>
      </c>
      <c r="M52" s="126">
        <v>0</v>
      </c>
      <c r="N52" s="125">
        <f t="shared" ref="N52:N57" si="120">O52+P52</f>
        <v>474594682</v>
      </c>
      <c r="O52" s="625">
        <f t="shared" ref="O52:P57" si="121">R52+U52</f>
        <v>0</v>
      </c>
      <c r="P52" s="625">
        <f t="shared" si="121"/>
        <v>474594682</v>
      </c>
      <c r="Q52" s="125">
        <f t="shared" ref="Q52:Q57" si="122">R52+S52</f>
        <v>474594682</v>
      </c>
      <c r="R52" s="126">
        <v>0</v>
      </c>
      <c r="S52" s="126">
        <v>474594682</v>
      </c>
      <c r="T52" s="125">
        <f t="shared" ref="T52:T57" si="123">U52+V52</f>
        <v>0</v>
      </c>
      <c r="U52" s="126">
        <v>0</v>
      </c>
      <c r="V52" s="126">
        <v>0</v>
      </c>
      <c r="W52" s="125">
        <f t="shared" ref="W52:W53" si="124">X52+Y52</f>
        <v>193539318</v>
      </c>
      <c r="X52" s="625">
        <f t="shared" ref="X52:Y53" si="125">AA52+AD52</f>
        <v>0</v>
      </c>
      <c r="Y52" s="625">
        <f t="shared" si="125"/>
        <v>193539318</v>
      </c>
      <c r="Z52" s="130">
        <v>193539318</v>
      </c>
      <c r="AA52" s="130">
        <v>0</v>
      </c>
      <c r="AB52" s="130">
        <v>193539318</v>
      </c>
      <c r="AC52" s="130">
        <v>0</v>
      </c>
      <c r="AD52" s="130">
        <v>0</v>
      </c>
      <c r="AE52" s="130">
        <v>0</v>
      </c>
      <c r="AF52" s="125">
        <f t="shared" ref="AF52:AF54" si="126">AG52+AH52</f>
        <v>474594682</v>
      </c>
      <c r="AG52" s="625">
        <f t="shared" ref="AG52:AG54" si="127">AJ52+AM52</f>
        <v>0</v>
      </c>
      <c r="AH52" s="625">
        <f t="shared" ref="AH52:AH54" si="128">AK52+AN52</f>
        <v>474594682</v>
      </c>
      <c r="AI52" s="125">
        <f t="shared" ref="AI52:AI54" si="129">AJ52+AK52</f>
        <v>474594682</v>
      </c>
      <c r="AJ52" s="126">
        <v>0</v>
      </c>
      <c r="AK52" s="126">
        <v>474594682</v>
      </c>
      <c r="AL52" s="125">
        <f t="shared" ref="AL52:AL55" si="130">AM52+AN52</f>
        <v>0</v>
      </c>
      <c r="AM52" s="126">
        <v>0</v>
      </c>
      <c r="AN52" s="126">
        <v>0</v>
      </c>
      <c r="AO52" s="626"/>
      <c r="AP52" s="595" t="s">
        <v>273</v>
      </c>
      <c r="AT52" s="620">
        <f t="shared" si="4"/>
        <v>193539318</v>
      </c>
      <c r="AU52" s="620">
        <f t="shared" si="5"/>
        <v>0</v>
      </c>
      <c r="AV52" s="620">
        <f t="shared" si="6"/>
        <v>193539318</v>
      </c>
      <c r="AW52" s="620">
        <f t="shared" si="7"/>
        <v>193539318</v>
      </c>
      <c r="AX52" s="620">
        <f t="shared" si="8"/>
        <v>0</v>
      </c>
      <c r="AY52" s="620">
        <f t="shared" si="9"/>
        <v>193539318</v>
      </c>
      <c r="AZ52" s="620">
        <f t="shared" si="10"/>
        <v>0</v>
      </c>
      <c r="BA52" s="620">
        <f t="shared" si="11"/>
        <v>0</v>
      </c>
      <c r="BB52" s="620">
        <f t="shared" si="12"/>
        <v>0</v>
      </c>
    </row>
    <row r="53" spans="1:54" s="581" customFormat="1" ht="41.25" customHeight="1" x14ac:dyDescent="0.25">
      <c r="A53" s="147">
        <v>2</v>
      </c>
      <c r="B53" s="120" t="s">
        <v>366</v>
      </c>
      <c r="C53" s="120" t="s">
        <v>323</v>
      </c>
      <c r="D53" s="120" t="s">
        <v>273</v>
      </c>
      <c r="E53" s="125">
        <f t="shared" si="117"/>
        <v>162996836</v>
      </c>
      <c r="F53" s="625">
        <f t="shared" si="118"/>
        <v>0</v>
      </c>
      <c r="G53" s="625">
        <f t="shared" si="118"/>
        <v>162996836</v>
      </c>
      <c r="H53" s="125">
        <f t="shared" si="44"/>
        <v>162996836</v>
      </c>
      <c r="I53" s="125"/>
      <c r="J53" s="126">
        <v>162996836</v>
      </c>
      <c r="K53" s="125">
        <f t="shared" si="119"/>
        <v>0</v>
      </c>
      <c r="L53" s="126">
        <v>0</v>
      </c>
      <c r="M53" s="126">
        <v>0</v>
      </c>
      <c r="N53" s="125">
        <f t="shared" si="120"/>
        <v>140707036</v>
      </c>
      <c r="O53" s="625">
        <f t="shared" si="121"/>
        <v>0</v>
      </c>
      <c r="P53" s="625">
        <f t="shared" si="121"/>
        <v>140707036</v>
      </c>
      <c r="Q53" s="125">
        <f t="shared" si="122"/>
        <v>140707036</v>
      </c>
      <c r="R53" s="126">
        <v>0</v>
      </c>
      <c r="S53" s="126">
        <v>140707036</v>
      </c>
      <c r="T53" s="125">
        <f t="shared" si="123"/>
        <v>0</v>
      </c>
      <c r="U53" s="126">
        <v>0</v>
      </c>
      <c r="V53" s="126">
        <v>0</v>
      </c>
      <c r="W53" s="125">
        <f t="shared" si="124"/>
        <v>22289800</v>
      </c>
      <c r="X53" s="625">
        <f t="shared" si="125"/>
        <v>0</v>
      </c>
      <c r="Y53" s="625">
        <f t="shared" si="125"/>
        <v>22289800</v>
      </c>
      <c r="Z53" s="130">
        <v>22289800</v>
      </c>
      <c r="AA53" s="130">
        <v>0</v>
      </c>
      <c r="AB53" s="130">
        <v>22289800</v>
      </c>
      <c r="AC53" s="130">
        <v>0</v>
      </c>
      <c r="AD53" s="130">
        <v>0</v>
      </c>
      <c r="AE53" s="130">
        <v>0</v>
      </c>
      <c r="AF53" s="125">
        <f t="shared" si="126"/>
        <v>140707036</v>
      </c>
      <c r="AG53" s="625">
        <f t="shared" si="127"/>
        <v>0</v>
      </c>
      <c r="AH53" s="625">
        <f t="shared" si="128"/>
        <v>140707036</v>
      </c>
      <c r="AI53" s="125">
        <f t="shared" si="129"/>
        <v>140707036</v>
      </c>
      <c r="AJ53" s="126">
        <v>0</v>
      </c>
      <c r="AK53" s="126">
        <v>140707036</v>
      </c>
      <c r="AL53" s="125">
        <f t="shared" si="130"/>
        <v>0</v>
      </c>
      <c r="AM53" s="126">
        <v>0</v>
      </c>
      <c r="AN53" s="126">
        <v>0</v>
      </c>
      <c r="AO53" s="626"/>
      <c r="AP53" s="595" t="s">
        <v>273</v>
      </c>
      <c r="AT53" s="620">
        <f t="shared" si="4"/>
        <v>22289800</v>
      </c>
      <c r="AU53" s="620">
        <f t="shared" si="5"/>
        <v>0</v>
      </c>
      <c r="AV53" s="620">
        <f t="shared" si="6"/>
        <v>22289800</v>
      </c>
      <c r="AW53" s="620">
        <f t="shared" si="7"/>
        <v>22289800</v>
      </c>
      <c r="AX53" s="620">
        <f t="shared" si="8"/>
        <v>0</v>
      </c>
      <c r="AY53" s="620">
        <f t="shared" si="9"/>
        <v>22289800</v>
      </c>
      <c r="AZ53" s="620">
        <f t="shared" si="10"/>
        <v>0</v>
      </c>
      <c r="BA53" s="620">
        <f t="shared" si="11"/>
        <v>0</v>
      </c>
      <c r="BB53" s="620">
        <f t="shared" si="12"/>
        <v>0</v>
      </c>
    </row>
    <row r="54" spans="1:54" s="581" customFormat="1" ht="41.25" customHeight="1" x14ac:dyDescent="0.25">
      <c r="A54" s="147">
        <v>3</v>
      </c>
      <c r="B54" s="120" t="s">
        <v>367</v>
      </c>
      <c r="C54" s="120" t="s">
        <v>323</v>
      </c>
      <c r="D54" s="120" t="s">
        <v>273</v>
      </c>
      <c r="E54" s="125">
        <f t="shared" si="117"/>
        <v>94199000</v>
      </c>
      <c r="F54" s="625">
        <f t="shared" si="118"/>
        <v>0</v>
      </c>
      <c r="G54" s="625">
        <f t="shared" si="118"/>
        <v>94199000</v>
      </c>
      <c r="H54" s="125">
        <f t="shared" si="44"/>
        <v>0</v>
      </c>
      <c r="I54" s="125"/>
      <c r="J54" s="126">
        <v>0</v>
      </c>
      <c r="K54" s="125">
        <f t="shared" si="119"/>
        <v>94199000</v>
      </c>
      <c r="L54" s="126">
        <v>0</v>
      </c>
      <c r="M54" s="126">
        <v>94199000</v>
      </c>
      <c r="N54" s="125">
        <f t="shared" si="120"/>
        <v>94199000</v>
      </c>
      <c r="O54" s="625">
        <f t="shared" si="121"/>
        <v>0</v>
      </c>
      <c r="P54" s="625">
        <f t="shared" si="121"/>
        <v>94199000</v>
      </c>
      <c r="Q54" s="125">
        <f t="shared" si="122"/>
        <v>0</v>
      </c>
      <c r="R54" s="126">
        <v>0</v>
      </c>
      <c r="S54" s="126">
        <v>0</v>
      </c>
      <c r="T54" s="125">
        <f t="shared" si="123"/>
        <v>94199000</v>
      </c>
      <c r="U54" s="126">
        <v>0</v>
      </c>
      <c r="V54" s="126">
        <v>94199000</v>
      </c>
      <c r="W54" s="130"/>
      <c r="X54" s="130"/>
      <c r="Y54" s="130"/>
      <c r="Z54" s="130"/>
      <c r="AA54" s="130"/>
      <c r="AB54" s="130"/>
      <c r="AC54" s="130"/>
      <c r="AD54" s="130"/>
      <c r="AE54" s="130"/>
      <c r="AF54" s="125">
        <f t="shared" si="126"/>
        <v>94199000</v>
      </c>
      <c r="AG54" s="625">
        <f t="shared" si="127"/>
        <v>0</v>
      </c>
      <c r="AH54" s="625">
        <f t="shared" si="128"/>
        <v>94199000</v>
      </c>
      <c r="AI54" s="125">
        <f t="shared" si="129"/>
        <v>0</v>
      </c>
      <c r="AJ54" s="126">
        <v>0</v>
      </c>
      <c r="AK54" s="126">
        <v>0</v>
      </c>
      <c r="AL54" s="125">
        <f t="shared" si="130"/>
        <v>94199000</v>
      </c>
      <c r="AM54" s="126">
        <v>0</v>
      </c>
      <c r="AN54" s="126">
        <v>94199000</v>
      </c>
      <c r="AO54" s="626"/>
      <c r="AP54" s="595" t="s">
        <v>273</v>
      </c>
      <c r="AT54" s="620">
        <f t="shared" si="4"/>
        <v>0</v>
      </c>
      <c r="AU54" s="620">
        <f t="shared" si="5"/>
        <v>0</v>
      </c>
      <c r="AV54" s="620">
        <f t="shared" si="6"/>
        <v>0</v>
      </c>
      <c r="AW54" s="620">
        <f t="shared" si="7"/>
        <v>0</v>
      </c>
      <c r="AX54" s="620">
        <f t="shared" si="8"/>
        <v>0</v>
      </c>
      <c r="AY54" s="620">
        <f t="shared" si="9"/>
        <v>0</v>
      </c>
      <c r="AZ54" s="620">
        <f t="shared" si="10"/>
        <v>0</v>
      </c>
      <c r="BA54" s="620">
        <f t="shared" si="11"/>
        <v>0</v>
      </c>
      <c r="BB54" s="620">
        <f t="shared" si="12"/>
        <v>0</v>
      </c>
    </row>
    <row r="55" spans="1:54" s="581" customFormat="1" ht="51.75" customHeight="1" x14ac:dyDescent="0.25">
      <c r="A55" s="147">
        <v>4</v>
      </c>
      <c r="B55" s="120" t="s">
        <v>368</v>
      </c>
      <c r="C55" s="120" t="s">
        <v>323</v>
      </c>
      <c r="D55" s="120" t="s">
        <v>274</v>
      </c>
      <c r="E55" s="125">
        <f>F55+G55</f>
        <v>6807628012</v>
      </c>
      <c r="F55" s="625">
        <f>I55+L55</f>
        <v>0</v>
      </c>
      <c r="G55" s="625">
        <f>J55+M55</f>
        <v>6807628012</v>
      </c>
      <c r="H55" s="125">
        <f>I55+J55</f>
        <v>6807628012</v>
      </c>
      <c r="I55" s="125"/>
      <c r="J55" s="126">
        <v>6807628012</v>
      </c>
      <c r="K55" s="125">
        <f>L55+M55</f>
        <v>0</v>
      </c>
      <c r="L55" s="126">
        <v>0</v>
      </c>
      <c r="M55" s="126">
        <v>0</v>
      </c>
      <c r="N55" s="125">
        <f>O55+P55</f>
        <v>3347500000</v>
      </c>
      <c r="O55" s="625">
        <f>R55+U55</f>
        <v>0</v>
      </c>
      <c r="P55" s="625">
        <f>S55+V55</f>
        <v>3347500000</v>
      </c>
      <c r="Q55" s="125">
        <f>R55+S55</f>
        <v>3347500000</v>
      </c>
      <c r="R55" s="126">
        <v>0</v>
      </c>
      <c r="S55" s="125">
        <f>2489000000+858500000</f>
        <v>3347500000</v>
      </c>
      <c r="T55" s="125">
        <f>U55+V55</f>
        <v>0</v>
      </c>
      <c r="U55" s="126">
        <v>0</v>
      </c>
      <c r="V55" s="126">
        <v>0</v>
      </c>
      <c r="W55" s="130"/>
      <c r="X55" s="130"/>
      <c r="Y55" s="130"/>
      <c r="Z55" s="130"/>
      <c r="AA55" s="130"/>
      <c r="AB55" s="130"/>
      <c r="AC55" s="130"/>
      <c r="AD55" s="130"/>
      <c r="AE55" s="130"/>
      <c r="AF55" s="125">
        <f>AG55+AH55</f>
        <v>4207628012</v>
      </c>
      <c r="AG55" s="625">
        <f>AJ55+AM55</f>
        <v>0</v>
      </c>
      <c r="AH55" s="625">
        <f>AK55+AN55</f>
        <v>4207628012</v>
      </c>
      <c r="AI55" s="125">
        <f>AJ55+AK55</f>
        <v>4207628012</v>
      </c>
      <c r="AJ55" s="125"/>
      <c r="AK55" s="126">
        <f>6807628012-2600000000</f>
        <v>4207628012</v>
      </c>
      <c r="AL55" s="130">
        <f t="shared" si="130"/>
        <v>0</v>
      </c>
      <c r="AM55" s="130"/>
      <c r="AN55" s="130"/>
      <c r="AO55" s="626"/>
      <c r="AP55" s="595" t="s">
        <v>274</v>
      </c>
      <c r="AT55" s="620">
        <f t="shared" si="4"/>
        <v>2600000000</v>
      </c>
      <c r="AU55" s="620">
        <f t="shared" si="5"/>
        <v>0</v>
      </c>
      <c r="AV55" s="620">
        <f t="shared" si="6"/>
        <v>2600000000</v>
      </c>
      <c r="AW55" s="620">
        <f t="shared" si="7"/>
        <v>2600000000</v>
      </c>
      <c r="AX55" s="620">
        <f t="shared" si="8"/>
        <v>0</v>
      </c>
      <c r="AY55" s="620">
        <f t="shared" si="9"/>
        <v>2600000000</v>
      </c>
      <c r="AZ55" s="620">
        <f t="shared" si="10"/>
        <v>0</v>
      </c>
      <c r="BA55" s="620">
        <f t="shared" si="11"/>
        <v>0</v>
      </c>
      <c r="BB55" s="620">
        <f t="shared" si="12"/>
        <v>0</v>
      </c>
    </row>
    <row r="56" spans="1:54" s="581" customFormat="1" ht="51.75" customHeight="1" x14ac:dyDescent="0.25">
      <c r="A56" s="147">
        <v>5</v>
      </c>
      <c r="B56" s="120" t="s">
        <v>369</v>
      </c>
      <c r="C56" s="131" t="s">
        <v>337</v>
      </c>
      <c r="D56" s="131" t="s">
        <v>274</v>
      </c>
      <c r="E56" s="125">
        <f t="shared" si="117"/>
        <v>58354000</v>
      </c>
      <c r="F56" s="625">
        <f t="shared" si="118"/>
        <v>0</v>
      </c>
      <c r="G56" s="625">
        <f t="shared" si="118"/>
        <v>58354000</v>
      </c>
      <c r="H56" s="125">
        <f t="shared" si="44"/>
        <v>58354000</v>
      </c>
      <c r="I56" s="125"/>
      <c r="J56" s="126">
        <v>58354000</v>
      </c>
      <c r="K56" s="125">
        <f t="shared" si="119"/>
        <v>0</v>
      </c>
      <c r="L56" s="126">
        <v>0</v>
      </c>
      <c r="M56" s="126">
        <v>0</v>
      </c>
      <c r="N56" s="125">
        <f t="shared" si="120"/>
        <v>0</v>
      </c>
      <c r="O56" s="625">
        <f t="shared" si="121"/>
        <v>0</v>
      </c>
      <c r="P56" s="625">
        <f t="shared" si="121"/>
        <v>0</v>
      </c>
      <c r="Q56" s="125">
        <f t="shared" si="122"/>
        <v>0</v>
      </c>
      <c r="R56" s="126">
        <v>0</v>
      </c>
      <c r="S56" s="126">
        <v>0</v>
      </c>
      <c r="T56" s="125">
        <f t="shared" si="123"/>
        <v>0</v>
      </c>
      <c r="U56" s="126">
        <v>0</v>
      </c>
      <c r="V56" s="126">
        <v>0</v>
      </c>
      <c r="W56" s="125">
        <f t="shared" ref="W56:W57" si="131">X56+Y56</f>
        <v>58354000</v>
      </c>
      <c r="X56" s="625">
        <f t="shared" ref="X56:Y57" si="132">AA56+AD56</f>
        <v>0</v>
      </c>
      <c r="Y56" s="625">
        <f t="shared" si="132"/>
        <v>58354000</v>
      </c>
      <c r="Z56" s="125">
        <f t="shared" ref="Z56:Z57" si="133">AA56+AB56</f>
        <v>58354000</v>
      </c>
      <c r="AA56" s="125"/>
      <c r="AB56" s="126">
        <v>58354000</v>
      </c>
      <c r="AC56" s="130"/>
      <c r="AD56" s="130"/>
      <c r="AE56" s="130"/>
      <c r="AF56" s="125">
        <f t="shared" ref="AF56:AF57" si="134">AG56+AH56</f>
        <v>0</v>
      </c>
      <c r="AG56" s="625">
        <f t="shared" ref="AG56:AG57" si="135">AJ56+AM56</f>
        <v>0</v>
      </c>
      <c r="AH56" s="625">
        <f t="shared" ref="AH56:AH57" si="136">AK56+AN56</f>
        <v>0</v>
      </c>
      <c r="AI56" s="130">
        <f t="shared" ref="AI56:AI57" si="137">AJ56+AK56</f>
        <v>0</v>
      </c>
      <c r="AJ56" s="130"/>
      <c r="AK56" s="130"/>
      <c r="AL56" s="130">
        <f t="shared" ref="AL56:AL57" si="138">AM56+AN56</f>
        <v>0</v>
      </c>
      <c r="AM56" s="130"/>
      <c r="AN56" s="130"/>
      <c r="AO56" s="626"/>
      <c r="AP56" s="595" t="s">
        <v>274</v>
      </c>
      <c r="AT56" s="620">
        <f t="shared" si="4"/>
        <v>58354000</v>
      </c>
      <c r="AU56" s="620">
        <f t="shared" si="5"/>
        <v>0</v>
      </c>
      <c r="AV56" s="620">
        <f t="shared" si="6"/>
        <v>58354000</v>
      </c>
      <c r="AW56" s="620">
        <f t="shared" si="7"/>
        <v>58354000</v>
      </c>
      <c r="AX56" s="620">
        <f t="shared" si="8"/>
        <v>0</v>
      </c>
      <c r="AY56" s="620">
        <f t="shared" si="9"/>
        <v>58354000</v>
      </c>
      <c r="AZ56" s="620">
        <f t="shared" si="10"/>
        <v>0</v>
      </c>
      <c r="BA56" s="620">
        <f t="shared" si="11"/>
        <v>0</v>
      </c>
      <c r="BB56" s="620">
        <f t="shared" si="12"/>
        <v>0</v>
      </c>
    </row>
    <row r="57" spans="1:54" s="581" customFormat="1" ht="51.75" customHeight="1" x14ac:dyDescent="0.25">
      <c r="A57" s="147">
        <v>6</v>
      </c>
      <c r="B57" s="120" t="s">
        <v>370</v>
      </c>
      <c r="C57" s="131" t="s">
        <v>333</v>
      </c>
      <c r="D57" s="131" t="s">
        <v>274</v>
      </c>
      <c r="E57" s="125">
        <f t="shared" si="117"/>
        <v>61407847</v>
      </c>
      <c r="F57" s="625">
        <f t="shared" si="118"/>
        <v>0</v>
      </c>
      <c r="G57" s="625">
        <f t="shared" si="118"/>
        <v>61407847</v>
      </c>
      <c r="H57" s="125">
        <f t="shared" si="44"/>
        <v>61407847</v>
      </c>
      <c r="I57" s="125"/>
      <c r="J57" s="126">
        <v>61407847</v>
      </c>
      <c r="K57" s="125">
        <f t="shared" si="119"/>
        <v>0</v>
      </c>
      <c r="L57" s="126">
        <v>0</v>
      </c>
      <c r="M57" s="126">
        <v>0</v>
      </c>
      <c r="N57" s="125">
        <f t="shared" si="120"/>
        <v>0</v>
      </c>
      <c r="O57" s="625">
        <f t="shared" si="121"/>
        <v>0</v>
      </c>
      <c r="P57" s="625">
        <f t="shared" si="121"/>
        <v>0</v>
      </c>
      <c r="Q57" s="125">
        <f t="shared" si="122"/>
        <v>0</v>
      </c>
      <c r="R57" s="126">
        <v>0</v>
      </c>
      <c r="S57" s="126">
        <v>0</v>
      </c>
      <c r="T57" s="125">
        <f t="shared" si="123"/>
        <v>0</v>
      </c>
      <c r="U57" s="126">
        <v>0</v>
      </c>
      <c r="V57" s="126">
        <v>0</v>
      </c>
      <c r="W57" s="125">
        <f t="shared" si="131"/>
        <v>61407847</v>
      </c>
      <c r="X57" s="625">
        <f t="shared" si="132"/>
        <v>0</v>
      </c>
      <c r="Y57" s="625">
        <f t="shared" si="132"/>
        <v>61407847</v>
      </c>
      <c r="Z57" s="125">
        <f t="shared" si="133"/>
        <v>61407847</v>
      </c>
      <c r="AA57" s="125"/>
      <c r="AB57" s="126">
        <v>61407847</v>
      </c>
      <c r="AC57" s="130"/>
      <c r="AD57" s="130"/>
      <c r="AE57" s="130"/>
      <c r="AF57" s="125">
        <f t="shared" si="134"/>
        <v>0</v>
      </c>
      <c r="AG57" s="625">
        <f t="shared" si="135"/>
        <v>0</v>
      </c>
      <c r="AH57" s="625">
        <f t="shared" si="136"/>
        <v>0</v>
      </c>
      <c r="AI57" s="130">
        <f t="shared" si="137"/>
        <v>0</v>
      </c>
      <c r="AJ57" s="130"/>
      <c r="AK57" s="130"/>
      <c r="AL57" s="130">
        <f t="shared" si="138"/>
        <v>0</v>
      </c>
      <c r="AM57" s="130"/>
      <c r="AN57" s="130"/>
      <c r="AO57" s="626"/>
      <c r="AP57" s="595" t="s">
        <v>274</v>
      </c>
      <c r="AT57" s="620">
        <f t="shared" si="4"/>
        <v>61407847</v>
      </c>
      <c r="AU57" s="620">
        <f t="shared" si="5"/>
        <v>0</v>
      </c>
      <c r="AV57" s="620">
        <f t="shared" si="6"/>
        <v>61407847</v>
      </c>
      <c r="AW57" s="620">
        <f t="shared" si="7"/>
        <v>61407847</v>
      </c>
      <c r="AX57" s="620">
        <f t="shared" si="8"/>
        <v>0</v>
      </c>
      <c r="AY57" s="620">
        <f t="shared" si="9"/>
        <v>61407847</v>
      </c>
      <c r="AZ57" s="620">
        <f t="shared" si="10"/>
        <v>0</v>
      </c>
      <c r="BA57" s="620">
        <f t="shared" si="11"/>
        <v>0</v>
      </c>
      <c r="BB57" s="620">
        <f t="shared" si="12"/>
        <v>0</v>
      </c>
    </row>
  </sheetData>
  <mergeCells count="39">
    <mergeCell ref="AO5:AO7"/>
    <mergeCell ref="A3:AO3"/>
    <mergeCell ref="A1:AO1"/>
    <mergeCell ref="A2:AN2"/>
    <mergeCell ref="H4:AN4"/>
    <mergeCell ref="A5:A7"/>
    <mergeCell ref="B5:B7"/>
    <mergeCell ref="C5:C7"/>
    <mergeCell ref="D5:D7"/>
    <mergeCell ref="E5:M5"/>
    <mergeCell ref="N5:V5"/>
    <mergeCell ref="W5:AE5"/>
    <mergeCell ref="AF5:AN5"/>
    <mergeCell ref="X6:X7"/>
    <mergeCell ref="E6:E7"/>
    <mergeCell ref="F6:F7"/>
    <mergeCell ref="G6:G7"/>
    <mergeCell ref="H6:J6"/>
    <mergeCell ref="K6:M6"/>
    <mergeCell ref="N6:N7"/>
    <mergeCell ref="O6:O7"/>
    <mergeCell ref="P6:P7"/>
    <mergeCell ref="Q6:S6"/>
    <mergeCell ref="T6:V6"/>
    <mergeCell ref="W6:W7"/>
    <mergeCell ref="AI6:AK6"/>
    <mergeCell ref="AL6:AN6"/>
    <mergeCell ref="Y6:Y7"/>
    <mergeCell ref="Z6:AB6"/>
    <mergeCell ref="AC6:AE6"/>
    <mergeCell ref="AF6:AF7"/>
    <mergeCell ref="AG6:AG7"/>
    <mergeCell ref="AH6:AH7"/>
    <mergeCell ref="AT5:BB5"/>
    <mergeCell ref="AT6:AT7"/>
    <mergeCell ref="AU6:AU7"/>
    <mergeCell ref="AV6:AV7"/>
    <mergeCell ref="AW6:AY6"/>
    <mergeCell ref="AZ6:BB6"/>
  </mergeCells>
  <pageMargins left="0.28999999999999998" right="0.16" top="0.39" bottom="0.45" header="0.3" footer="0.2"/>
  <pageSetup paperSize="9" scale="49" firstPageNumber="6" orientation="landscape" useFirstPageNumber="1" verticalDpi="0" r:id="rId1"/>
  <headerFooter>
    <oddFooter>&amp;C &amp;P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BP55"/>
  <sheetViews>
    <sheetView view="pageBreakPreview" zoomScaleNormal="100" zoomScaleSheetLayoutView="100" workbookViewId="0">
      <selection activeCell="B14" sqref="B14"/>
    </sheetView>
  </sheetViews>
  <sheetFormatPr defaultColWidth="9.140625" defaultRowHeight="12.75" x14ac:dyDescent="0.25"/>
  <cols>
    <col min="1" max="1" width="5" style="171" customWidth="1"/>
    <col min="2" max="2" width="32.42578125" style="163" customWidth="1"/>
    <col min="3" max="3" width="12" style="163" customWidth="1"/>
    <col min="4" max="4" width="11.42578125" style="172" customWidth="1"/>
    <col min="5" max="6" width="11.5703125" style="163" customWidth="1"/>
    <col min="7" max="7" width="11.7109375" style="163" customWidth="1"/>
    <col min="8" max="8" width="11.5703125" style="163" customWidth="1"/>
    <col min="9" max="9" width="10.85546875" style="163" customWidth="1"/>
    <col min="10" max="10" width="11.7109375" style="173" customWidth="1"/>
    <col min="11" max="11" width="11.85546875" style="171" customWidth="1"/>
    <col min="12" max="12" width="4.85546875" style="171" customWidth="1"/>
    <col min="13" max="13" width="5.7109375" style="171" customWidth="1"/>
    <col min="14" max="14" width="7.140625" style="171" hidden="1" customWidth="1"/>
    <col min="15" max="15" width="15" style="162" customWidth="1"/>
    <col min="16" max="17" width="14" style="162" customWidth="1"/>
    <col min="18" max="18" width="18.7109375" style="162" customWidth="1"/>
    <col min="19" max="68" width="9.140625" style="162"/>
    <col min="69" max="16384" width="9.140625" style="163"/>
  </cols>
  <sheetData>
    <row r="1" spans="1:68" s="157" customFormat="1" ht="20.25" customHeight="1" x14ac:dyDescent="0.25">
      <c r="A1" s="830" t="s">
        <v>176</v>
      </c>
      <c r="B1" s="830"/>
      <c r="C1" s="830"/>
      <c r="D1" s="830"/>
      <c r="E1" s="830"/>
      <c r="F1" s="830"/>
      <c r="G1" s="830"/>
      <c r="H1" s="830"/>
      <c r="I1" s="830"/>
      <c r="J1" s="830"/>
      <c r="K1" s="830"/>
      <c r="L1" s="830"/>
      <c r="M1" s="830"/>
      <c r="N1" s="830"/>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row>
    <row r="2" spans="1:68" s="157" customFormat="1" ht="20.25" customHeight="1" x14ac:dyDescent="0.25">
      <c r="A2" s="830" t="s">
        <v>421</v>
      </c>
      <c r="B2" s="830"/>
      <c r="C2" s="830"/>
      <c r="D2" s="830"/>
      <c r="E2" s="830"/>
      <c r="F2" s="830"/>
      <c r="G2" s="830"/>
      <c r="H2" s="830"/>
      <c r="I2" s="830"/>
      <c r="J2" s="830"/>
      <c r="K2" s="830"/>
      <c r="L2" s="830"/>
      <c r="M2" s="830"/>
      <c r="N2" s="830"/>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row>
    <row r="3" spans="1:68" s="157" customFormat="1" ht="15" customHeight="1" x14ac:dyDescent="0.25">
      <c r="A3" s="832" t="str">
        <f>'BC VĐT 2025'!A3:AO3</f>
        <v>(Kèm theo Báo cáo số:   449  /BC-UBND ngày   30 /11/2025 của UBND xã Cao Minh)</v>
      </c>
      <c r="B3" s="832"/>
      <c r="C3" s="832"/>
      <c r="D3" s="832"/>
      <c r="E3" s="832"/>
      <c r="F3" s="832"/>
      <c r="G3" s="832"/>
      <c r="H3" s="832"/>
      <c r="I3" s="832"/>
      <c r="J3" s="832"/>
      <c r="K3" s="832"/>
      <c r="L3" s="832"/>
      <c r="M3" s="832"/>
      <c r="N3" s="832"/>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row>
    <row r="4" spans="1:68" s="157" customFormat="1" ht="19.5" customHeight="1" x14ac:dyDescent="0.25">
      <c r="A4" s="159"/>
      <c r="B4" s="160"/>
      <c r="C4" s="160"/>
      <c r="D4" s="825" t="s">
        <v>228</v>
      </c>
      <c r="E4" s="825"/>
      <c r="F4" s="825"/>
      <c r="G4" s="825"/>
      <c r="H4" s="825"/>
      <c r="I4" s="825"/>
      <c r="J4" s="825"/>
      <c r="K4" s="825"/>
      <c r="L4" s="825"/>
      <c r="M4" s="825"/>
      <c r="N4" s="825"/>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row>
    <row r="5" spans="1:68" ht="24.75" customHeight="1" x14ac:dyDescent="0.25">
      <c r="A5" s="831" t="s">
        <v>0</v>
      </c>
      <c r="B5" s="831" t="s">
        <v>392</v>
      </c>
      <c r="C5" s="831" t="s">
        <v>396</v>
      </c>
      <c r="D5" s="831"/>
      <c r="E5" s="831"/>
      <c r="F5" s="831" t="s">
        <v>398</v>
      </c>
      <c r="G5" s="831"/>
      <c r="H5" s="831"/>
      <c r="I5" s="831"/>
      <c r="J5" s="831"/>
      <c r="K5" s="831"/>
      <c r="L5" s="831"/>
      <c r="M5" s="831" t="s">
        <v>401</v>
      </c>
      <c r="N5" s="831" t="s">
        <v>264</v>
      </c>
    </row>
    <row r="6" spans="1:68" ht="30.75" customHeight="1" x14ac:dyDescent="0.25">
      <c r="A6" s="831"/>
      <c r="B6" s="831"/>
      <c r="C6" s="831" t="s">
        <v>234</v>
      </c>
      <c r="D6" s="831" t="s">
        <v>394</v>
      </c>
      <c r="E6" s="831" t="s">
        <v>395</v>
      </c>
      <c r="F6" s="831" t="s">
        <v>234</v>
      </c>
      <c r="G6" s="831" t="s">
        <v>399</v>
      </c>
      <c r="H6" s="831"/>
      <c r="I6" s="831"/>
      <c r="J6" s="831" t="s">
        <v>400</v>
      </c>
      <c r="K6" s="831"/>
      <c r="L6" s="831"/>
      <c r="M6" s="831"/>
      <c r="N6" s="831"/>
    </row>
    <row r="7" spans="1:68" ht="34.5" customHeight="1" x14ac:dyDescent="0.25">
      <c r="A7" s="831"/>
      <c r="B7" s="831"/>
      <c r="C7" s="831"/>
      <c r="D7" s="831"/>
      <c r="E7" s="831"/>
      <c r="F7" s="831"/>
      <c r="G7" s="161" t="s">
        <v>269</v>
      </c>
      <c r="H7" s="161" t="s">
        <v>397</v>
      </c>
      <c r="I7" s="161" t="s">
        <v>393</v>
      </c>
      <c r="J7" s="164" t="s">
        <v>269</v>
      </c>
      <c r="K7" s="161" t="s">
        <v>397</v>
      </c>
      <c r="L7" s="161" t="s">
        <v>393</v>
      </c>
      <c r="M7" s="831"/>
      <c r="N7" s="831"/>
    </row>
    <row r="8" spans="1:68" s="167" customFormat="1" ht="24" customHeight="1" x14ac:dyDescent="0.25">
      <c r="A8" s="169" t="s">
        <v>6</v>
      </c>
      <c r="B8" s="169" t="s">
        <v>7</v>
      </c>
      <c r="C8" s="169">
        <v>1</v>
      </c>
      <c r="D8" s="174">
        <v>2</v>
      </c>
      <c r="E8" s="169">
        <v>3</v>
      </c>
      <c r="F8" s="174">
        <v>4</v>
      </c>
      <c r="G8" s="169">
        <v>5</v>
      </c>
      <c r="H8" s="174">
        <v>6</v>
      </c>
      <c r="I8" s="169">
        <v>7</v>
      </c>
      <c r="J8" s="174">
        <v>8</v>
      </c>
      <c r="K8" s="169">
        <v>9</v>
      </c>
      <c r="L8" s="174">
        <v>10</v>
      </c>
      <c r="M8" s="169">
        <v>11</v>
      </c>
      <c r="N8" s="174">
        <v>12</v>
      </c>
      <c r="O8" s="165"/>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c r="BJ8" s="166"/>
      <c r="BK8" s="166"/>
      <c r="BL8" s="166"/>
      <c r="BM8" s="166"/>
      <c r="BN8" s="166"/>
      <c r="BO8" s="166"/>
      <c r="BP8" s="166"/>
    </row>
    <row r="9" spans="1:68" s="178" customFormat="1" ht="25.5" customHeight="1" x14ac:dyDescent="0.25">
      <c r="A9" s="176"/>
      <c r="B9" s="164" t="s">
        <v>234</v>
      </c>
      <c r="C9" s="179">
        <f>C10+C18+C41+C49</f>
        <v>54467459295</v>
      </c>
      <c r="D9" s="179">
        <f t="shared" ref="D9:L9" si="0">D10+D18+D41+D49</f>
        <v>33337185363</v>
      </c>
      <c r="E9" s="179">
        <f t="shared" si="0"/>
        <v>21130273932</v>
      </c>
      <c r="F9" s="179">
        <f t="shared" si="0"/>
        <v>37286062836</v>
      </c>
      <c r="G9" s="179">
        <f t="shared" si="0"/>
        <v>22899625338</v>
      </c>
      <c r="H9" s="179">
        <f t="shared" si="0"/>
        <v>14974625338</v>
      </c>
      <c r="I9" s="179">
        <f t="shared" si="0"/>
        <v>7925000000</v>
      </c>
      <c r="J9" s="179">
        <f t="shared" si="0"/>
        <v>14386437498</v>
      </c>
      <c r="K9" s="179">
        <f t="shared" si="0"/>
        <v>14386437498</v>
      </c>
      <c r="L9" s="179">
        <f t="shared" si="0"/>
        <v>0</v>
      </c>
      <c r="M9" s="185">
        <f>F9/C9</f>
        <v>0.68455667509761708</v>
      </c>
      <c r="N9" s="177"/>
    </row>
    <row r="10" spans="1:68" s="273" customFormat="1" ht="21.75" customHeight="1" x14ac:dyDescent="0.25">
      <c r="A10" s="148" t="s">
        <v>6</v>
      </c>
      <c r="B10" s="108" t="s">
        <v>271</v>
      </c>
      <c r="C10" s="270">
        <f>C11</f>
        <v>26747827534</v>
      </c>
      <c r="D10" s="270">
        <f t="shared" ref="D10:L10" si="1">D11</f>
        <v>23047827534</v>
      </c>
      <c r="E10" s="270">
        <f t="shared" si="1"/>
        <v>3700000000</v>
      </c>
      <c r="F10" s="270">
        <f t="shared" si="1"/>
        <v>17971807923</v>
      </c>
      <c r="G10" s="270">
        <f t="shared" si="1"/>
        <v>17250698989</v>
      </c>
      <c r="H10" s="270">
        <f t="shared" si="1"/>
        <v>10294698989</v>
      </c>
      <c r="I10" s="270">
        <f t="shared" si="1"/>
        <v>6956000000</v>
      </c>
      <c r="J10" s="270">
        <f t="shared" si="1"/>
        <v>721108934.00000012</v>
      </c>
      <c r="K10" s="270">
        <f t="shared" si="1"/>
        <v>721108934.00000012</v>
      </c>
      <c r="L10" s="270">
        <f t="shared" si="1"/>
        <v>0</v>
      </c>
      <c r="M10" s="271">
        <f>F10/C10</f>
        <v>0.6718978541399474</v>
      </c>
      <c r="N10" s="272"/>
    </row>
    <row r="11" spans="1:68" ht="39" customHeight="1" x14ac:dyDescent="0.25">
      <c r="A11" s="149" t="s">
        <v>23</v>
      </c>
      <c r="B11" s="115" t="s">
        <v>320</v>
      </c>
      <c r="C11" s="180">
        <f>SUM(C12:C17)</f>
        <v>26747827534</v>
      </c>
      <c r="D11" s="180">
        <f>SUM(D12:D17)</f>
        <v>23047827534</v>
      </c>
      <c r="E11" s="180">
        <f t="shared" ref="E11:L11" si="2">SUM(E12:E17)</f>
        <v>3700000000</v>
      </c>
      <c r="F11" s="180">
        <f t="shared" si="2"/>
        <v>17971807923</v>
      </c>
      <c r="G11" s="180">
        <f t="shared" si="2"/>
        <v>17250698989</v>
      </c>
      <c r="H11" s="180">
        <f t="shared" si="2"/>
        <v>10294698989</v>
      </c>
      <c r="I11" s="180">
        <f t="shared" si="2"/>
        <v>6956000000</v>
      </c>
      <c r="J11" s="180">
        <f t="shared" si="2"/>
        <v>721108934.00000012</v>
      </c>
      <c r="K11" s="180">
        <f t="shared" si="2"/>
        <v>721108934.00000012</v>
      </c>
      <c r="L11" s="180">
        <f t="shared" si="2"/>
        <v>0</v>
      </c>
      <c r="M11" s="168"/>
      <c r="N11" s="168"/>
    </row>
    <row r="12" spans="1:68" ht="28.5" customHeight="1" x14ac:dyDescent="0.25">
      <c r="A12" s="147">
        <v>1</v>
      </c>
      <c r="B12" s="120" t="s">
        <v>322</v>
      </c>
      <c r="C12" s="180">
        <f>'BC VĐT 2025'!E14</f>
        <v>1912063016</v>
      </c>
      <c r="D12" s="180">
        <f>'BC VĐT 2025'!H14</f>
        <v>1441754082</v>
      </c>
      <c r="E12" s="180">
        <f>'BC VĐT 2025'!K14</f>
        <v>470308934.00000012</v>
      </c>
      <c r="F12" s="180">
        <f>'BC VĐT 2025'!N14</f>
        <v>1912063016</v>
      </c>
      <c r="G12" s="180">
        <f>'BC VĐT 2025'!Q14</f>
        <v>1441754082</v>
      </c>
      <c r="H12" s="180">
        <f t="shared" ref="H12:H55" si="3">G12</f>
        <v>1441754082</v>
      </c>
      <c r="I12" s="180">
        <f t="shared" ref="I12:I55" si="4">G12-H12</f>
        <v>0</v>
      </c>
      <c r="J12" s="180">
        <f>'BC VĐT 2025'!T14</f>
        <v>470308934.00000012</v>
      </c>
      <c r="K12" s="180">
        <f t="shared" ref="K12:K55" si="5">J12</f>
        <v>470308934.00000012</v>
      </c>
      <c r="L12" s="180">
        <f t="shared" ref="L12:L55" si="6">J12-K12</f>
        <v>0</v>
      </c>
      <c r="M12" s="168"/>
      <c r="N12" s="168"/>
    </row>
    <row r="13" spans="1:68" ht="28.5" customHeight="1" x14ac:dyDescent="0.25">
      <c r="A13" s="147">
        <v>2</v>
      </c>
      <c r="B13" s="120" t="s">
        <v>325</v>
      </c>
      <c r="C13" s="180">
        <f>'BC VĐT 2025'!E15</f>
        <v>3937600719</v>
      </c>
      <c r="D13" s="180">
        <f>'BC VĐT 2025'!H15</f>
        <v>3937600719</v>
      </c>
      <c r="E13" s="180">
        <f>'BC VĐT 2025'!K15</f>
        <v>0</v>
      </c>
      <c r="F13" s="180">
        <f>'BC VĐT 2025'!N15</f>
        <v>2629600000</v>
      </c>
      <c r="G13" s="180">
        <f>'BC VĐT 2025'!Q15</f>
        <v>2629600000</v>
      </c>
      <c r="H13" s="180">
        <f t="shared" si="3"/>
        <v>2629600000</v>
      </c>
      <c r="I13" s="180">
        <f t="shared" si="4"/>
        <v>0</v>
      </c>
      <c r="J13" s="180">
        <f>'BC VĐT 2025'!T15</f>
        <v>0</v>
      </c>
      <c r="K13" s="180">
        <f t="shared" si="5"/>
        <v>0</v>
      </c>
      <c r="L13" s="180">
        <f t="shared" si="6"/>
        <v>0</v>
      </c>
      <c r="M13" s="168"/>
      <c r="N13" s="168"/>
    </row>
    <row r="14" spans="1:68" ht="28.5" customHeight="1" x14ac:dyDescent="0.25">
      <c r="A14" s="147">
        <v>3</v>
      </c>
      <c r="B14" s="120" t="s">
        <v>329</v>
      </c>
      <c r="C14" s="180">
        <f>'BC VĐT 2025'!E16</f>
        <v>5654962994</v>
      </c>
      <c r="D14" s="180">
        <f>'BC VĐT 2025'!H16</f>
        <v>5654962994</v>
      </c>
      <c r="E14" s="180">
        <f>'BC VĐT 2025'!K16</f>
        <v>0</v>
      </c>
      <c r="F14" s="180">
        <f>'BC VĐT 2025'!N16</f>
        <v>3681915907</v>
      </c>
      <c r="G14" s="180">
        <f>'BC VĐT 2025'!Q16</f>
        <v>3681915907</v>
      </c>
      <c r="H14" s="180">
        <f>G14-I14</f>
        <v>2413915907</v>
      </c>
      <c r="I14" s="180">
        <v>1268000000</v>
      </c>
      <c r="J14" s="180">
        <f>'BC VĐT 2025'!T16</f>
        <v>0</v>
      </c>
      <c r="K14" s="180">
        <f t="shared" si="5"/>
        <v>0</v>
      </c>
      <c r="L14" s="180">
        <f t="shared" si="6"/>
        <v>0</v>
      </c>
      <c r="M14" s="168"/>
      <c r="N14" s="168"/>
    </row>
    <row r="15" spans="1:68" ht="21.75" customHeight="1" x14ac:dyDescent="0.25">
      <c r="A15" s="147">
        <v>4</v>
      </c>
      <c r="B15" s="131" t="s">
        <v>331</v>
      </c>
      <c r="C15" s="180">
        <f>'BC VĐT 2025'!E17</f>
        <v>14323695552</v>
      </c>
      <c r="D15" s="180">
        <f>'BC VĐT 2025'!H17</f>
        <v>11124080377</v>
      </c>
      <c r="E15" s="180">
        <f>'BC VĐT 2025'!K17</f>
        <v>3199615175</v>
      </c>
      <c r="F15" s="180">
        <f>'BC VĐT 2025'!N17</f>
        <v>8858800000</v>
      </c>
      <c r="G15" s="180">
        <f>'BC VĐT 2025'!Q17</f>
        <v>8608000000</v>
      </c>
      <c r="H15" s="180">
        <f>G15-I15</f>
        <v>2920000000</v>
      </c>
      <c r="I15" s="180">
        <v>5688000000</v>
      </c>
      <c r="J15" s="180">
        <f>'BC VĐT 2025'!T17</f>
        <v>250800000</v>
      </c>
      <c r="K15" s="180">
        <f t="shared" si="5"/>
        <v>250800000</v>
      </c>
      <c r="L15" s="180">
        <f t="shared" si="6"/>
        <v>0</v>
      </c>
      <c r="M15" s="168"/>
      <c r="N15" s="168"/>
    </row>
    <row r="16" spans="1:68" ht="30.75" customHeight="1" x14ac:dyDescent="0.25">
      <c r="A16" s="147">
        <v>5</v>
      </c>
      <c r="B16" s="131" t="s">
        <v>332</v>
      </c>
      <c r="C16" s="180">
        <f>'BC VĐT 2025'!E18</f>
        <v>889429362</v>
      </c>
      <c r="D16" s="180">
        <f>'BC VĐT 2025'!H18</f>
        <v>889429362</v>
      </c>
      <c r="E16" s="180">
        <f>'BC VĐT 2025'!K18</f>
        <v>0</v>
      </c>
      <c r="F16" s="180">
        <f>'BC VĐT 2025'!N18</f>
        <v>889429000</v>
      </c>
      <c r="G16" s="180">
        <f>'BC VĐT 2025'!Q18</f>
        <v>889429000</v>
      </c>
      <c r="H16" s="180">
        <f t="shared" si="3"/>
        <v>889429000</v>
      </c>
      <c r="I16" s="180">
        <f t="shared" si="4"/>
        <v>0</v>
      </c>
      <c r="J16" s="180">
        <f>'BC VĐT 2025'!T18</f>
        <v>0</v>
      </c>
      <c r="K16" s="180">
        <f t="shared" si="5"/>
        <v>0</v>
      </c>
      <c r="L16" s="180">
        <f t="shared" si="6"/>
        <v>0</v>
      </c>
      <c r="M16" s="168"/>
      <c r="N16" s="168"/>
    </row>
    <row r="17" spans="1:14" ht="30.75" customHeight="1" x14ac:dyDescent="0.25">
      <c r="A17" s="147">
        <v>6</v>
      </c>
      <c r="B17" s="131" t="s">
        <v>253</v>
      </c>
      <c r="C17" s="180">
        <f>'BC VĐT 2025'!E19</f>
        <v>30075891</v>
      </c>
      <c r="D17" s="180">
        <f>'BC VĐT 2025'!H19</f>
        <v>0</v>
      </c>
      <c r="E17" s="180">
        <f>'BC VĐT 2025'!K19</f>
        <v>30075891</v>
      </c>
      <c r="F17" s="180">
        <f>'BC VĐT 2025'!N19</f>
        <v>0</v>
      </c>
      <c r="G17" s="180">
        <f>'BC VĐT 2025'!Q19</f>
        <v>0</v>
      </c>
      <c r="H17" s="180">
        <f t="shared" si="3"/>
        <v>0</v>
      </c>
      <c r="I17" s="180">
        <f t="shared" si="4"/>
        <v>0</v>
      </c>
      <c r="J17" s="180">
        <f>'BC VĐT 2025'!T19</f>
        <v>0</v>
      </c>
      <c r="K17" s="180">
        <f t="shared" si="5"/>
        <v>0</v>
      </c>
      <c r="L17" s="180">
        <f t="shared" si="6"/>
        <v>0</v>
      </c>
      <c r="M17" s="168"/>
      <c r="N17" s="168"/>
    </row>
    <row r="18" spans="1:14" s="273" customFormat="1" ht="30.75" customHeight="1" x14ac:dyDescent="0.25">
      <c r="A18" s="148" t="s">
        <v>7</v>
      </c>
      <c r="B18" s="108" t="s">
        <v>275</v>
      </c>
      <c r="C18" s="270">
        <f>C19+C23</f>
        <v>19080004122</v>
      </c>
      <c r="D18" s="270">
        <f t="shared" ref="D18:L18" si="7">D19+D23</f>
        <v>2329929190</v>
      </c>
      <c r="E18" s="270">
        <f t="shared" si="7"/>
        <v>16750074932</v>
      </c>
      <c r="F18" s="270">
        <f t="shared" si="7"/>
        <v>14533544046</v>
      </c>
      <c r="G18" s="270">
        <f t="shared" si="7"/>
        <v>1537772217</v>
      </c>
      <c r="H18" s="270">
        <f t="shared" si="7"/>
        <v>1537772217</v>
      </c>
      <c r="I18" s="270">
        <f t="shared" si="7"/>
        <v>0</v>
      </c>
      <c r="J18" s="270">
        <f t="shared" si="7"/>
        <v>12995771829</v>
      </c>
      <c r="K18" s="270">
        <f t="shared" si="7"/>
        <v>12995771829</v>
      </c>
      <c r="L18" s="270">
        <f t="shared" si="7"/>
        <v>0</v>
      </c>
      <c r="M18" s="271">
        <f>F18/C18</f>
        <v>0.76171598040915767</v>
      </c>
      <c r="N18" s="272"/>
    </row>
    <row r="19" spans="1:14" s="183" customFormat="1" ht="39" customHeight="1" x14ac:dyDescent="0.25">
      <c r="A19" s="150" t="s">
        <v>23</v>
      </c>
      <c r="B19" s="138" t="s">
        <v>276</v>
      </c>
      <c r="C19" s="181">
        <f>SUM(C20:C22)</f>
        <v>10983900000</v>
      </c>
      <c r="D19" s="181">
        <f t="shared" ref="D19:L19" si="8">SUM(D20:D22)</f>
        <v>369500000</v>
      </c>
      <c r="E19" s="181">
        <f t="shared" si="8"/>
        <v>10614400000</v>
      </c>
      <c r="F19" s="181">
        <f t="shared" si="8"/>
        <v>9708000000</v>
      </c>
      <c r="G19" s="181">
        <f t="shared" si="8"/>
        <v>369500000</v>
      </c>
      <c r="H19" s="181">
        <f t="shared" si="8"/>
        <v>369500000</v>
      </c>
      <c r="I19" s="181">
        <f t="shared" si="8"/>
        <v>0</v>
      </c>
      <c r="J19" s="181">
        <f t="shared" si="8"/>
        <v>9338500000</v>
      </c>
      <c r="K19" s="181">
        <f t="shared" si="8"/>
        <v>9338500000</v>
      </c>
      <c r="L19" s="181">
        <f t="shared" si="8"/>
        <v>0</v>
      </c>
      <c r="M19" s="637">
        <f>F19/C19</f>
        <v>0.88383907355310953</v>
      </c>
      <c r="N19" s="182"/>
    </row>
    <row r="20" spans="1:14" ht="28.5" customHeight="1" x14ac:dyDescent="0.25">
      <c r="A20" s="147">
        <v>1</v>
      </c>
      <c r="B20" s="131" t="s">
        <v>335</v>
      </c>
      <c r="C20" s="180">
        <f>'BC VĐT 2025'!E22</f>
        <v>4228000000</v>
      </c>
      <c r="D20" s="180">
        <f>'BC VĐT 2025'!H22</f>
        <v>49000000</v>
      </c>
      <c r="E20" s="180">
        <f>'BC VĐT 2025'!K22</f>
        <v>4179000000</v>
      </c>
      <c r="F20" s="180">
        <f>'BC VĐT 2025'!N22</f>
        <v>3832000000</v>
      </c>
      <c r="G20" s="180">
        <f>'BC VĐT 2025'!Q22</f>
        <v>49000000</v>
      </c>
      <c r="H20" s="180">
        <f t="shared" si="3"/>
        <v>49000000</v>
      </c>
      <c r="I20" s="180">
        <f t="shared" si="4"/>
        <v>0</v>
      </c>
      <c r="J20" s="180">
        <f>'BC VĐT 2025'!T22</f>
        <v>3783000000</v>
      </c>
      <c r="K20" s="180">
        <f t="shared" si="5"/>
        <v>3783000000</v>
      </c>
      <c r="L20" s="180">
        <f t="shared" si="6"/>
        <v>0</v>
      </c>
      <c r="M20" s="184"/>
      <c r="N20" s="168"/>
    </row>
    <row r="21" spans="1:14" ht="28.5" customHeight="1" x14ac:dyDescent="0.25">
      <c r="A21" s="147">
        <v>2</v>
      </c>
      <c r="B21" s="131" t="s">
        <v>336</v>
      </c>
      <c r="C21" s="180">
        <f>'BC VĐT 2025'!E23</f>
        <v>1604000000</v>
      </c>
      <c r="D21" s="180">
        <f>'BC VĐT 2025'!H23</f>
        <v>2500000</v>
      </c>
      <c r="E21" s="180">
        <f>'BC VĐT 2025'!K23</f>
        <v>1601500000</v>
      </c>
      <c r="F21" s="180">
        <f>'BC VĐT 2025'!N23</f>
        <v>1604000000</v>
      </c>
      <c r="G21" s="180">
        <f>'BC VĐT 2025'!Q23</f>
        <v>2500000</v>
      </c>
      <c r="H21" s="180">
        <f t="shared" si="3"/>
        <v>2500000</v>
      </c>
      <c r="I21" s="180">
        <f t="shared" si="4"/>
        <v>0</v>
      </c>
      <c r="J21" s="180">
        <f>'BC VĐT 2025'!T23</f>
        <v>1601500000</v>
      </c>
      <c r="K21" s="180">
        <f t="shared" si="5"/>
        <v>1601500000</v>
      </c>
      <c r="L21" s="180">
        <f t="shared" si="6"/>
        <v>0</v>
      </c>
      <c r="M21" s="184"/>
      <c r="N21" s="168"/>
    </row>
    <row r="22" spans="1:14" ht="28.5" customHeight="1" x14ac:dyDescent="0.25">
      <c r="A22" s="147">
        <v>3</v>
      </c>
      <c r="B22" s="131" t="s">
        <v>338</v>
      </c>
      <c r="C22" s="180">
        <f>'BC VĐT 2025'!E24</f>
        <v>5151900000</v>
      </c>
      <c r="D22" s="180">
        <f>'BC VĐT 2025'!H24</f>
        <v>318000000</v>
      </c>
      <c r="E22" s="180">
        <f>'BC VĐT 2025'!K24</f>
        <v>4833900000</v>
      </c>
      <c r="F22" s="180">
        <f>'BC VĐT 2025'!N24</f>
        <v>4272000000</v>
      </c>
      <c r="G22" s="180">
        <f>'BC VĐT 2025'!Q24</f>
        <v>318000000</v>
      </c>
      <c r="H22" s="180">
        <f t="shared" si="3"/>
        <v>318000000</v>
      </c>
      <c r="I22" s="180">
        <f t="shared" si="4"/>
        <v>0</v>
      </c>
      <c r="J22" s="180">
        <f>'BC VĐT 2025'!T24</f>
        <v>3954000000</v>
      </c>
      <c r="K22" s="180">
        <f t="shared" si="5"/>
        <v>3954000000</v>
      </c>
      <c r="L22" s="180">
        <f t="shared" si="6"/>
        <v>0</v>
      </c>
      <c r="M22" s="184"/>
      <c r="N22" s="168"/>
    </row>
    <row r="23" spans="1:14" s="183" customFormat="1" ht="37.5" customHeight="1" x14ac:dyDescent="0.25">
      <c r="A23" s="150" t="s">
        <v>27</v>
      </c>
      <c r="B23" s="138" t="s">
        <v>277</v>
      </c>
      <c r="C23" s="181">
        <f>SUM(C24:C40)</f>
        <v>8096104122</v>
      </c>
      <c r="D23" s="181">
        <f t="shared" ref="D23:L23" si="9">SUM(D24:D40)</f>
        <v>1960429190</v>
      </c>
      <c r="E23" s="181">
        <f t="shared" si="9"/>
        <v>6135674932</v>
      </c>
      <c r="F23" s="181">
        <f t="shared" si="9"/>
        <v>4825544046</v>
      </c>
      <c r="G23" s="181">
        <f t="shared" si="9"/>
        <v>1168272217</v>
      </c>
      <c r="H23" s="181">
        <f t="shared" si="9"/>
        <v>1168272217</v>
      </c>
      <c r="I23" s="181">
        <f t="shared" si="9"/>
        <v>0</v>
      </c>
      <c r="J23" s="181">
        <f t="shared" si="9"/>
        <v>3657271829</v>
      </c>
      <c r="K23" s="181">
        <f t="shared" si="9"/>
        <v>3657271829</v>
      </c>
      <c r="L23" s="181">
        <f t="shared" si="9"/>
        <v>0</v>
      </c>
      <c r="M23" s="637">
        <f>F23/C23</f>
        <v>0.59603285398557027</v>
      </c>
      <c r="N23" s="182"/>
    </row>
    <row r="24" spans="1:14" ht="21.75" customHeight="1" x14ac:dyDescent="0.25">
      <c r="A24" s="147">
        <v>1</v>
      </c>
      <c r="B24" s="131" t="s">
        <v>340</v>
      </c>
      <c r="C24" s="180">
        <f>'BC VĐT 2025'!E26</f>
        <v>644102739</v>
      </c>
      <c r="D24" s="180">
        <f>'BC VĐT 2025'!H26</f>
        <v>132100000</v>
      </c>
      <c r="E24" s="180">
        <f>'BC VĐT 2025'!K26</f>
        <v>512002739</v>
      </c>
      <c r="F24" s="180">
        <f>'BC VĐT 2025'!N26</f>
        <v>644102739</v>
      </c>
      <c r="G24" s="180">
        <f>'BC VĐT 2025'!Q26</f>
        <v>132100000</v>
      </c>
      <c r="H24" s="180">
        <f t="shared" si="3"/>
        <v>132100000</v>
      </c>
      <c r="I24" s="180">
        <f t="shared" si="4"/>
        <v>0</v>
      </c>
      <c r="J24" s="180">
        <f>'BC VĐT 2025'!T26</f>
        <v>512002739</v>
      </c>
      <c r="K24" s="180">
        <f t="shared" si="5"/>
        <v>512002739</v>
      </c>
      <c r="L24" s="180">
        <f t="shared" si="6"/>
        <v>0</v>
      </c>
      <c r="M24" s="168"/>
      <c r="N24" s="168"/>
    </row>
    <row r="25" spans="1:14" ht="30.75" customHeight="1" x14ac:dyDescent="0.25">
      <c r="A25" s="147">
        <v>2</v>
      </c>
      <c r="B25" s="120" t="s">
        <v>341</v>
      </c>
      <c r="C25" s="180">
        <f>'BC VĐT 2025'!E27</f>
        <v>143100000</v>
      </c>
      <c r="D25" s="180">
        <f>'BC VĐT 2025'!H27</f>
        <v>143100000</v>
      </c>
      <c r="E25" s="180">
        <f>'BC VĐT 2025'!K27</f>
        <v>0</v>
      </c>
      <c r="F25" s="180">
        <f>'BC VĐT 2025'!N27</f>
        <v>143100000</v>
      </c>
      <c r="G25" s="180">
        <f>'BC VĐT 2025'!Q27</f>
        <v>143100000</v>
      </c>
      <c r="H25" s="180">
        <f t="shared" si="3"/>
        <v>143100000</v>
      </c>
      <c r="I25" s="180">
        <f t="shared" si="4"/>
        <v>0</v>
      </c>
      <c r="J25" s="180">
        <f>'BC VĐT 2025'!T27</f>
        <v>0</v>
      </c>
      <c r="K25" s="180">
        <f t="shared" si="5"/>
        <v>0</v>
      </c>
      <c r="L25" s="180">
        <f t="shared" si="6"/>
        <v>0</v>
      </c>
      <c r="M25" s="168"/>
      <c r="N25" s="168"/>
    </row>
    <row r="26" spans="1:14" ht="20.25" customHeight="1" x14ac:dyDescent="0.25">
      <c r="A26" s="147">
        <v>3</v>
      </c>
      <c r="B26" s="120" t="s">
        <v>342</v>
      </c>
      <c r="C26" s="180">
        <f>'BC VĐT 2025'!E28</f>
        <v>54442503</v>
      </c>
      <c r="D26" s="180">
        <f>'BC VĐT 2025'!H28</f>
        <v>54442503</v>
      </c>
      <c r="E26" s="180">
        <f>'BC VĐT 2025'!K28</f>
        <v>0</v>
      </c>
      <c r="F26" s="180">
        <f>'BC VĐT 2025'!N28</f>
        <v>54442503</v>
      </c>
      <c r="G26" s="180">
        <f>'BC VĐT 2025'!Q28</f>
        <v>54442503</v>
      </c>
      <c r="H26" s="180">
        <f t="shared" si="3"/>
        <v>54442503</v>
      </c>
      <c r="I26" s="180">
        <f t="shared" si="4"/>
        <v>0</v>
      </c>
      <c r="J26" s="180">
        <f>'BC VĐT 2025'!T28</f>
        <v>0</v>
      </c>
      <c r="K26" s="180">
        <f t="shared" si="5"/>
        <v>0</v>
      </c>
      <c r="L26" s="180">
        <f t="shared" si="6"/>
        <v>0</v>
      </c>
      <c r="M26" s="168"/>
      <c r="N26" s="168"/>
    </row>
    <row r="27" spans="1:14" ht="29.25" customHeight="1" x14ac:dyDescent="0.25">
      <c r="A27" s="147">
        <v>4</v>
      </c>
      <c r="B27" s="120" t="s">
        <v>343</v>
      </c>
      <c r="C27" s="180">
        <f>'BC VĐT 2025'!E29</f>
        <v>40901595</v>
      </c>
      <c r="D27" s="180">
        <f>'BC VĐT 2025'!H29</f>
        <v>40901595</v>
      </c>
      <c r="E27" s="180">
        <f>'BC VĐT 2025'!K29</f>
        <v>0</v>
      </c>
      <c r="F27" s="180">
        <f>'BC VĐT 2025'!N29</f>
        <v>26064432</v>
      </c>
      <c r="G27" s="180">
        <f>'BC VĐT 2025'!Q29</f>
        <v>26064432</v>
      </c>
      <c r="H27" s="180">
        <f t="shared" si="3"/>
        <v>26064432</v>
      </c>
      <c r="I27" s="180">
        <f t="shared" si="4"/>
        <v>0</v>
      </c>
      <c r="J27" s="180">
        <f>'BC VĐT 2025'!T29</f>
        <v>0</v>
      </c>
      <c r="K27" s="180">
        <f t="shared" si="5"/>
        <v>0</v>
      </c>
      <c r="L27" s="180">
        <f t="shared" si="6"/>
        <v>0</v>
      </c>
      <c r="M27" s="168"/>
      <c r="N27" s="168"/>
    </row>
    <row r="28" spans="1:14" ht="29.25" customHeight="1" x14ac:dyDescent="0.25">
      <c r="A28" s="147">
        <v>5</v>
      </c>
      <c r="B28" s="120" t="s">
        <v>344</v>
      </c>
      <c r="C28" s="180">
        <f>'BC VĐT 2025'!E30</f>
        <v>321374692</v>
      </c>
      <c r="D28" s="180">
        <f>'BC VĐT 2025'!H30</f>
        <v>321374692</v>
      </c>
      <c r="E28" s="180">
        <f>'BC VĐT 2025'!K30</f>
        <v>0</v>
      </c>
      <c r="F28" s="180">
        <f>'BC VĐT 2025'!N30</f>
        <v>51973387</v>
      </c>
      <c r="G28" s="180">
        <f>'BC VĐT 2025'!Q30</f>
        <v>51973387</v>
      </c>
      <c r="H28" s="180">
        <f t="shared" si="3"/>
        <v>51973387</v>
      </c>
      <c r="I28" s="180">
        <f t="shared" si="4"/>
        <v>0</v>
      </c>
      <c r="J28" s="180">
        <f>'BC VĐT 2025'!T30</f>
        <v>0</v>
      </c>
      <c r="K28" s="180">
        <f t="shared" si="5"/>
        <v>0</v>
      </c>
      <c r="L28" s="180">
        <f t="shared" si="6"/>
        <v>0</v>
      </c>
      <c r="M28" s="168"/>
      <c r="N28" s="168"/>
    </row>
    <row r="29" spans="1:14" ht="20.25" customHeight="1" x14ac:dyDescent="0.25">
      <c r="A29" s="147">
        <v>6</v>
      </c>
      <c r="B29" s="120" t="s">
        <v>345</v>
      </c>
      <c r="C29" s="180">
        <f>'BC VĐT 2025'!E31</f>
        <v>95535331</v>
      </c>
      <c r="D29" s="180">
        <f>'BC VĐT 2025'!H31</f>
        <v>95535331</v>
      </c>
      <c r="E29" s="180">
        <f>'BC VĐT 2025'!K31</f>
        <v>0</v>
      </c>
      <c r="F29" s="180">
        <f>'BC VĐT 2025'!N31</f>
        <v>89153778</v>
      </c>
      <c r="G29" s="180">
        <f>'BC VĐT 2025'!Q31</f>
        <v>89153778</v>
      </c>
      <c r="H29" s="180">
        <f t="shared" si="3"/>
        <v>89153778</v>
      </c>
      <c r="I29" s="180">
        <f t="shared" si="4"/>
        <v>0</v>
      </c>
      <c r="J29" s="180">
        <f>'BC VĐT 2025'!T31</f>
        <v>0</v>
      </c>
      <c r="K29" s="180">
        <f t="shared" si="5"/>
        <v>0</v>
      </c>
      <c r="L29" s="180">
        <f t="shared" si="6"/>
        <v>0</v>
      </c>
      <c r="M29" s="168"/>
      <c r="N29" s="168"/>
    </row>
    <row r="30" spans="1:14" ht="30.75" customHeight="1" x14ac:dyDescent="0.25">
      <c r="A30" s="147">
        <v>7</v>
      </c>
      <c r="B30" s="120" t="s">
        <v>346</v>
      </c>
      <c r="C30" s="180">
        <f>'BC VĐT 2025'!E32</f>
        <v>123923532</v>
      </c>
      <c r="D30" s="180">
        <f>'BC VĐT 2025'!H32</f>
        <v>123923532</v>
      </c>
      <c r="E30" s="180">
        <f>'BC VĐT 2025'!K32</f>
        <v>0</v>
      </c>
      <c r="F30" s="180">
        <f>'BC VĐT 2025'!N32</f>
        <v>97788387</v>
      </c>
      <c r="G30" s="180">
        <f>'BC VĐT 2025'!Q32</f>
        <v>97788387</v>
      </c>
      <c r="H30" s="180">
        <f t="shared" si="3"/>
        <v>97788387</v>
      </c>
      <c r="I30" s="180">
        <f t="shared" si="4"/>
        <v>0</v>
      </c>
      <c r="J30" s="180">
        <f>'BC VĐT 2025'!T32</f>
        <v>0</v>
      </c>
      <c r="K30" s="180">
        <f t="shared" si="5"/>
        <v>0</v>
      </c>
      <c r="L30" s="180">
        <f t="shared" si="6"/>
        <v>0</v>
      </c>
      <c r="M30" s="168"/>
      <c r="N30" s="168"/>
    </row>
    <row r="31" spans="1:14" ht="40.5" customHeight="1" x14ac:dyDescent="0.25">
      <c r="A31" s="147">
        <v>8</v>
      </c>
      <c r="B31" s="120" t="s">
        <v>347</v>
      </c>
      <c r="C31" s="180">
        <f>'BC VĐT 2025'!E33</f>
        <v>10158315</v>
      </c>
      <c r="D31" s="180">
        <f>'BC VĐT 2025'!H33</f>
        <v>10158315</v>
      </c>
      <c r="E31" s="180">
        <f>'BC VĐT 2025'!K33</f>
        <v>0</v>
      </c>
      <c r="F31" s="180">
        <f>'BC VĐT 2025'!N33</f>
        <v>1265315</v>
      </c>
      <c r="G31" s="180">
        <f>'BC VĐT 2025'!Q33</f>
        <v>1265315</v>
      </c>
      <c r="H31" s="180">
        <f t="shared" si="3"/>
        <v>1265315</v>
      </c>
      <c r="I31" s="180">
        <f t="shared" si="4"/>
        <v>0</v>
      </c>
      <c r="J31" s="180">
        <f>'BC VĐT 2025'!T33</f>
        <v>0</v>
      </c>
      <c r="K31" s="180">
        <f t="shared" si="5"/>
        <v>0</v>
      </c>
      <c r="L31" s="180">
        <f t="shared" si="6"/>
        <v>0</v>
      </c>
      <c r="M31" s="168"/>
      <c r="N31" s="168"/>
    </row>
    <row r="32" spans="1:14" ht="29.25" customHeight="1" x14ac:dyDescent="0.25">
      <c r="A32" s="147">
        <v>9</v>
      </c>
      <c r="B32" s="120" t="s">
        <v>348</v>
      </c>
      <c r="C32" s="180">
        <f>'BC VĐT 2025'!E34</f>
        <v>19400280.999999952</v>
      </c>
      <c r="D32" s="180">
        <f>'BC VĐT 2025'!H34</f>
        <v>19400280.999999952</v>
      </c>
      <c r="E32" s="180">
        <f>'BC VĐT 2025'!K34</f>
        <v>0</v>
      </c>
      <c r="F32" s="180">
        <f>'BC VĐT 2025'!N34</f>
        <v>5370179</v>
      </c>
      <c r="G32" s="180">
        <f>'BC VĐT 2025'!Q34</f>
        <v>5370179</v>
      </c>
      <c r="H32" s="180">
        <f t="shared" si="3"/>
        <v>5370179</v>
      </c>
      <c r="I32" s="180">
        <f t="shared" si="4"/>
        <v>0</v>
      </c>
      <c r="J32" s="180">
        <f>'BC VĐT 2025'!T34</f>
        <v>0</v>
      </c>
      <c r="K32" s="180">
        <f t="shared" si="5"/>
        <v>0</v>
      </c>
      <c r="L32" s="180">
        <f t="shared" si="6"/>
        <v>0</v>
      </c>
      <c r="M32" s="168"/>
      <c r="N32" s="168"/>
    </row>
    <row r="33" spans="1:14" ht="29.25" customHeight="1" x14ac:dyDescent="0.25">
      <c r="A33" s="147">
        <v>10</v>
      </c>
      <c r="B33" s="120" t="s">
        <v>349</v>
      </c>
      <c r="C33" s="180">
        <f>'BC VĐT 2025'!E35</f>
        <v>14944023</v>
      </c>
      <c r="D33" s="180">
        <f>'BC VĐT 2025'!H35</f>
        <v>14944023</v>
      </c>
      <c r="E33" s="180">
        <f>'BC VĐT 2025'!K35</f>
        <v>0</v>
      </c>
      <c r="F33" s="180">
        <f>'BC VĐT 2025'!N35</f>
        <v>2367676</v>
      </c>
      <c r="G33" s="180">
        <f>'BC VĐT 2025'!Q35</f>
        <v>2367676</v>
      </c>
      <c r="H33" s="180">
        <f t="shared" si="3"/>
        <v>2367676</v>
      </c>
      <c r="I33" s="180">
        <f t="shared" si="4"/>
        <v>0</v>
      </c>
      <c r="J33" s="180">
        <f>'BC VĐT 2025'!T35</f>
        <v>0</v>
      </c>
      <c r="K33" s="180">
        <f t="shared" si="5"/>
        <v>0</v>
      </c>
      <c r="L33" s="180">
        <f t="shared" si="6"/>
        <v>0</v>
      </c>
      <c r="M33" s="168"/>
      <c r="N33" s="168"/>
    </row>
    <row r="34" spans="1:14" ht="29.25" customHeight="1" x14ac:dyDescent="0.25">
      <c r="A34" s="147">
        <v>11</v>
      </c>
      <c r="B34" s="120" t="s">
        <v>350</v>
      </c>
      <c r="C34" s="180">
        <f>'BC VĐT 2025'!E36</f>
        <v>229046560</v>
      </c>
      <c r="D34" s="180">
        <f>'BC VĐT 2025'!H36</f>
        <v>59046560</v>
      </c>
      <c r="E34" s="180">
        <f>'BC VĐT 2025'!K36</f>
        <v>170000000</v>
      </c>
      <c r="F34" s="180">
        <f>'BC VĐT 2025'!N36</f>
        <v>229046560</v>
      </c>
      <c r="G34" s="180">
        <f>'BC VĐT 2025'!Q36</f>
        <v>59046560</v>
      </c>
      <c r="H34" s="180">
        <f t="shared" si="3"/>
        <v>59046560</v>
      </c>
      <c r="I34" s="180">
        <f t="shared" si="4"/>
        <v>0</v>
      </c>
      <c r="J34" s="180">
        <f>'BC VĐT 2025'!T36</f>
        <v>170000000</v>
      </c>
      <c r="K34" s="180">
        <f t="shared" si="5"/>
        <v>170000000</v>
      </c>
      <c r="L34" s="180">
        <f t="shared" si="6"/>
        <v>0</v>
      </c>
      <c r="M34" s="168"/>
      <c r="N34" s="168"/>
    </row>
    <row r="35" spans="1:14" ht="20.25" customHeight="1" x14ac:dyDescent="0.25">
      <c r="A35" s="147">
        <v>12</v>
      </c>
      <c r="B35" s="131" t="s">
        <v>351</v>
      </c>
      <c r="C35" s="180">
        <f>'BC VĐT 2025'!E37</f>
        <v>35937469</v>
      </c>
      <c r="D35" s="180">
        <f>'BC VĐT 2025'!H37</f>
        <v>35937469</v>
      </c>
      <c r="E35" s="180">
        <f>'BC VĐT 2025'!K37</f>
        <v>0</v>
      </c>
      <c r="F35" s="180">
        <f>'BC VĐT 2025'!N37</f>
        <v>0</v>
      </c>
      <c r="G35" s="180">
        <f>'BC VĐT 2025'!Q37</f>
        <v>0</v>
      </c>
      <c r="H35" s="180">
        <f t="shared" si="3"/>
        <v>0</v>
      </c>
      <c r="I35" s="180">
        <f t="shared" si="4"/>
        <v>0</v>
      </c>
      <c r="J35" s="180">
        <f>'BC VĐT 2025'!T37</f>
        <v>0</v>
      </c>
      <c r="K35" s="180">
        <f t="shared" si="5"/>
        <v>0</v>
      </c>
      <c r="L35" s="180">
        <f t="shared" si="6"/>
        <v>0</v>
      </c>
      <c r="M35" s="168"/>
      <c r="N35" s="168"/>
    </row>
    <row r="36" spans="1:14" ht="28.5" customHeight="1" x14ac:dyDescent="0.25">
      <c r="A36" s="147">
        <v>13</v>
      </c>
      <c r="B36" s="131" t="s">
        <v>353</v>
      </c>
      <c r="C36" s="180">
        <f>'BC VĐT 2025'!E38</f>
        <v>1909564889</v>
      </c>
      <c r="D36" s="180">
        <f>'BC VĐT 2025'!H38</f>
        <v>909564889</v>
      </c>
      <c r="E36" s="180">
        <f>'BC VĐT 2025'!K38</f>
        <v>1000000000</v>
      </c>
      <c r="F36" s="180">
        <f>'BC VĐT 2025'!N38</f>
        <v>778908090</v>
      </c>
      <c r="G36" s="180">
        <f>'BC VĐT 2025'!Q38</f>
        <v>505600000</v>
      </c>
      <c r="H36" s="180">
        <f t="shared" si="3"/>
        <v>505600000</v>
      </c>
      <c r="I36" s="180">
        <f t="shared" si="4"/>
        <v>0</v>
      </c>
      <c r="J36" s="180">
        <f>'BC VĐT 2025'!T38</f>
        <v>273308090</v>
      </c>
      <c r="K36" s="180">
        <f t="shared" si="5"/>
        <v>273308090</v>
      </c>
      <c r="L36" s="180">
        <f t="shared" si="6"/>
        <v>0</v>
      </c>
      <c r="M36" s="168"/>
      <c r="N36" s="168"/>
    </row>
    <row r="37" spans="1:14" ht="21" customHeight="1" x14ac:dyDescent="0.25">
      <c r="A37" s="147">
        <v>14</v>
      </c>
      <c r="B37" s="120" t="s">
        <v>354</v>
      </c>
      <c r="C37" s="180">
        <f>'BC VĐT 2025'!E39</f>
        <v>700000000</v>
      </c>
      <c r="D37" s="180">
        <f>'BC VĐT 2025'!H39</f>
        <v>0</v>
      </c>
      <c r="E37" s="180">
        <f>'BC VĐT 2025'!K39</f>
        <v>700000000</v>
      </c>
      <c r="F37" s="180">
        <f>'BC VĐT 2025'!N39</f>
        <v>0</v>
      </c>
      <c r="G37" s="180">
        <f>'BC VĐT 2025'!Q39</f>
        <v>0</v>
      </c>
      <c r="H37" s="180">
        <f t="shared" si="3"/>
        <v>0</v>
      </c>
      <c r="I37" s="180">
        <f t="shared" si="4"/>
        <v>0</v>
      </c>
      <c r="J37" s="180">
        <f>'BC VĐT 2025'!T39</f>
        <v>0</v>
      </c>
      <c r="K37" s="180">
        <f t="shared" si="5"/>
        <v>0</v>
      </c>
      <c r="L37" s="180">
        <f t="shared" si="6"/>
        <v>0</v>
      </c>
      <c r="M37" s="168"/>
      <c r="N37" s="168"/>
    </row>
    <row r="38" spans="1:14" ht="27.75" customHeight="1" x14ac:dyDescent="0.25">
      <c r="A38" s="147">
        <v>15</v>
      </c>
      <c r="B38" s="120" t="s">
        <v>355</v>
      </c>
      <c r="C38" s="180">
        <f>'BC VĐT 2025'!E40</f>
        <v>1200000000</v>
      </c>
      <c r="D38" s="180">
        <f>'BC VĐT 2025'!H40</f>
        <v>0</v>
      </c>
      <c r="E38" s="180">
        <f>'BC VĐT 2025'!K40</f>
        <v>1200000000</v>
      </c>
      <c r="F38" s="180">
        <f>'BC VĐT 2025'!N40</f>
        <v>935461000</v>
      </c>
      <c r="G38" s="180">
        <f>'BC VĐT 2025'!Q40</f>
        <v>0</v>
      </c>
      <c r="H38" s="180">
        <f t="shared" si="3"/>
        <v>0</v>
      </c>
      <c r="I38" s="180">
        <f t="shared" si="4"/>
        <v>0</v>
      </c>
      <c r="J38" s="180">
        <f>'BC VĐT 2025'!T40</f>
        <v>935461000</v>
      </c>
      <c r="K38" s="180">
        <f t="shared" si="5"/>
        <v>935461000</v>
      </c>
      <c r="L38" s="180">
        <f t="shared" si="6"/>
        <v>0</v>
      </c>
      <c r="M38" s="168"/>
      <c r="N38" s="168"/>
    </row>
    <row r="39" spans="1:14" ht="27.75" customHeight="1" x14ac:dyDescent="0.25">
      <c r="A39" s="147">
        <v>16</v>
      </c>
      <c r="B39" s="120" t="s">
        <v>356</v>
      </c>
      <c r="C39" s="180">
        <f>'BC VĐT 2025'!E41</f>
        <v>2500000000</v>
      </c>
      <c r="D39" s="180">
        <f>'BC VĐT 2025'!H41</f>
        <v>0</v>
      </c>
      <c r="E39" s="180">
        <f>'BC VĐT 2025'!K41</f>
        <v>2500000000</v>
      </c>
      <c r="F39" s="180">
        <f>'BC VĐT 2025'!N41</f>
        <v>1766500000</v>
      </c>
      <c r="G39" s="180">
        <f>'BC VĐT 2025'!Q41</f>
        <v>0</v>
      </c>
      <c r="H39" s="180">
        <f t="shared" si="3"/>
        <v>0</v>
      </c>
      <c r="I39" s="180">
        <f t="shared" si="4"/>
        <v>0</v>
      </c>
      <c r="J39" s="180">
        <f>'BC VĐT 2025'!T41</f>
        <v>1766500000</v>
      </c>
      <c r="K39" s="180">
        <f t="shared" si="5"/>
        <v>1766500000</v>
      </c>
      <c r="L39" s="180">
        <f t="shared" si="6"/>
        <v>0</v>
      </c>
      <c r="M39" s="168"/>
      <c r="N39" s="168"/>
    </row>
    <row r="40" spans="1:14" ht="19.5" customHeight="1" x14ac:dyDescent="0.25">
      <c r="A40" s="147">
        <v>17</v>
      </c>
      <c r="B40" s="120" t="s">
        <v>266</v>
      </c>
      <c r="C40" s="180">
        <f>'BC VĐT 2025'!E42</f>
        <v>53672193</v>
      </c>
      <c r="D40" s="180">
        <f>'BC VĐT 2025'!H42</f>
        <v>0</v>
      </c>
      <c r="E40" s="180">
        <f>'BC VĐT 2025'!K42</f>
        <v>53672193</v>
      </c>
      <c r="F40" s="180">
        <f>'BC VĐT 2025'!N42</f>
        <v>0</v>
      </c>
      <c r="G40" s="180">
        <f>'BC VĐT 2025'!Q42</f>
        <v>0</v>
      </c>
      <c r="H40" s="180">
        <f t="shared" si="3"/>
        <v>0</v>
      </c>
      <c r="I40" s="180">
        <f t="shared" si="4"/>
        <v>0</v>
      </c>
      <c r="J40" s="180">
        <f>'BC VĐT 2025'!T42</f>
        <v>0</v>
      </c>
      <c r="K40" s="180">
        <f t="shared" si="5"/>
        <v>0</v>
      </c>
      <c r="L40" s="180">
        <f t="shared" si="6"/>
        <v>0</v>
      </c>
      <c r="M40" s="168"/>
      <c r="N40" s="168"/>
    </row>
    <row r="41" spans="1:14" s="273" customFormat="1" ht="27" customHeight="1" x14ac:dyDescent="0.25">
      <c r="A41" s="148" t="s">
        <v>49</v>
      </c>
      <c r="B41" s="108" t="s">
        <v>278</v>
      </c>
      <c r="C41" s="270">
        <f>SUM(C42:C48)</f>
        <v>786907944</v>
      </c>
      <c r="D41" s="270">
        <f t="shared" ref="D41:L41" si="10">SUM(D42:D48)</f>
        <v>200907944</v>
      </c>
      <c r="E41" s="270">
        <f t="shared" si="10"/>
        <v>586000000</v>
      </c>
      <c r="F41" s="270">
        <f t="shared" si="10"/>
        <v>723710149</v>
      </c>
      <c r="G41" s="270">
        <f t="shared" si="10"/>
        <v>148352414</v>
      </c>
      <c r="H41" s="270">
        <f t="shared" si="10"/>
        <v>148352414</v>
      </c>
      <c r="I41" s="270">
        <f t="shared" si="10"/>
        <v>0</v>
      </c>
      <c r="J41" s="270">
        <f t="shared" si="10"/>
        <v>575357735</v>
      </c>
      <c r="K41" s="270">
        <f t="shared" si="10"/>
        <v>575357735</v>
      </c>
      <c r="L41" s="270">
        <f t="shared" si="10"/>
        <v>0</v>
      </c>
      <c r="M41" s="271">
        <f>F41/C41</f>
        <v>0.91968845214758688</v>
      </c>
      <c r="N41" s="270"/>
    </row>
    <row r="42" spans="1:14" ht="28.5" customHeight="1" x14ac:dyDescent="0.25">
      <c r="A42" s="147">
        <v>1</v>
      </c>
      <c r="B42" s="120" t="s">
        <v>357</v>
      </c>
      <c r="C42" s="180">
        <f>'BC VĐT 2025'!E44</f>
        <v>575357735</v>
      </c>
      <c r="D42" s="180">
        <f>'BC VĐT 2025'!H44</f>
        <v>0</v>
      </c>
      <c r="E42" s="180">
        <f>'BC VĐT 2025'!K44</f>
        <v>575357735</v>
      </c>
      <c r="F42" s="180">
        <f>'BC VĐT 2025'!N44</f>
        <v>575357735</v>
      </c>
      <c r="G42" s="180">
        <f>'BC VĐT 2025'!Q44</f>
        <v>0</v>
      </c>
      <c r="H42" s="180">
        <f t="shared" si="3"/>
        <v>0</v>
      </c>
      <c r="I42" s="180">
        <f t="shared" si="4"/>
        <v>0</v>
      </c>
      <c r="J42" s="180">
        <f>'BC VĐT 2025'!T44</f>
        <v>575357735</v>
      </c>
      <c r="K42" s="180">
        <f t="shared" si="5"/>
        <v>575357735</v>
      </c>
      <c r="L42" s="180">
        <f t="shared" si="6"/>
        <v>0</v>
      </c>
      <c r="M42" s="168"/>
      <c r="N42" s="168"/>
    </row>
    <row r="43" spans="1:14" ht="18.75" customHeight="1" x14ac:dyDescent="0.25">
      <c r="A43" s="147">
        <v>2</v>
      </c>
      <c r="B43" s="120" t="s">
        <v>358</v>
      </c>
      <c r="C43" s="180">
        <f>'BC VĐT 2025'!E45</f>
        <v>62998306</v>
      </c>
      <c r="D43" s="180">
        <f>'BC VĐT 2025'!H45</f>
        <v>62998306</v>
      </c>
      <c r="E43" s="180">
        <f>'BC VĐT 2025'!K45</f>
        <v>0</v>
      </c>
      <c r="F43" s="180">
        <f>'BC VĐT 2025'!N45</f>
        <v>35651625</v>
      </c>
      <c r="G43" s="180">
        <f>'BC VĐT 2025'!Q45</f>
        <v>35651625</v>
      </c>
      <c r="H43" s="180">
        <f t="shared" si="3"/>
        <v>35651625</v>
      </c>
      <c r="I43" s="180">
        <f t="shared" si="4"/>
        <v>0</v>
      </c>
      <c r="J43" s="180">
        <f>'BC VĐT 2025'!T45</f>
        <v>0</v>
      </c>
      <c r="K43" s="180">
        <f t="shared" si="5"/>
        <v>0</v>
      </c>
      <c r="L43" s="180">
        <f t="shared" si="6"/>
        <v>0</v>
      </c>
      <c r="M43" s="168"/>
      <c r="N43" s="168"/>
    </row>
    <row r="44" spans="1:14" ht="40.5" customHeight="1" x14ac:dyDescent="0.25">
      <c r="A44" s="147">
        <v>3</v>
      </c>
      <c r="B44" s="120" t="s">
        <v>359</v>
      </c>
      <c r="C44" s="180">
        <f>'BC VĐT 2025'!E46</f>
        <v>13683638</v>
      </c>
      <c r="D44" s="180">
        <f>'BC VĐT 2025'!H46</f>
        <v>13683638</v>
      </c>
      <c r="E44" s="180">
        <f>'BC VĐT 2025'!K46</f>
        <v>0</v>
      </c>
      <c r="F44" s="180">
        <f>'BC VĐT 2025'!N46</f>
        <v>5317737</v>
      </c>
      <c r="G44" s="180">
        <f>'BC VĐT 2025'!Q46</f>
        <v>5317737</v>
      </c>
      <c r="H44" s="180">
        <f t="shared" si="3"/>
        <v>5317737</v>
      </c>
      <c r="I44" s="180">
        <f t="shared" si="4"/>
        <v>0</v>
      </c>
      <c r="J44" s="180">
        <f>'BC VĐT 2025'!T46</f>
        <v>0</v>
      </c>
      <c r="K44" s="180">
        <f t="shared" si="5"/>
        <v>0</v>
      </c>
      <c r="L44" s="180">
        <f t="shared" si="6"/>
        <v>0</v>
      </c>
      <c r="M44" s="168"/>
      <c r="N44" s="168"/>
    </row>
    <row r="45" spans="1:14" ht="28.5" customHeight="1" x14ac:dyDescent="0.25">
      <c r="A45" s="147">
        <v>4</v>
      </c>
      <c r="B45" s="120" t="s">
        <v>360</v>
      </c>
      <c r="C45" s="180">
        <f>'BC VĐT 2025'!E47</f>
        <v>5000000</v>
      </c>
      <c r="D45" s="180">
        <f>'BC VĐT 2025'!H47</f>
        <v>5000000</v>
      </c>
      <c r="E45" s="180">
        <f>'BC VĐT 2025'!K47</f>
        <v>0</v>
      </c>
      <c r="F45" s="180">
        <f>'BC VĐT 2025'!N47</f>
        <v>5000000</v>
      </c>
      <c r="G45" s="180">
        <f>'BC VĐT 2025'!Q47</f>
        <v>5000000</v>
      </c>
      <c r="H45" s="180">
        <f t="shared" si="3"/>
        <v>5000000</v>
      </c>
      <c r="I45" s="180">
        <f t="shared" si="4"/>
        <v>0</v>
      </c>
      <c r="J45" s="180">
        <f>'BC VĐT 2025'!T47</f>
        <v>0</v>
      </c>
      <c r="K45" s="180">
        <f t="shared" si="5"/>
        <v>0</v>
      </c>
      <c r="L45" s="180">
        <f t="shared" si="6"/>
        <v>0</v>
      </c>
      <c r="M45" s="168"/>
      <c r="N45" s="168"/>
    </row>
    <row r="46" spans="1:14" ht="19.5" customHeight="1" x14ac:dyDescent="0.25">
      <c r="A46" s="147">
        <v>5</v>
      </c>
      <c r="B46" s="120" t="s">
        <v>361</v>
      </c>
      <c r="C46" s="180">
        <f>'BC VĐT 2025'!E48</f>
        <v>89192000</v>
      </c>
      <c r="D46" s="180">
        <f>'BC VĐT 2025'!H48</f>
        <v>89192000</v>
      </c>
      <c r="E46" s="180">
        <f>'BC VĐT 2025'!K48</f>
        <v>0</v>
      </c>
      <c r="F46" s="180">
        <f>'BC VĐT 2025'!N48</f>
        <v>88969052</v>
      </c>
      <c r="G46" s="180">
        <f>'BC VĐT 2025'!Q48</f>
        <v>88969052</v>
      </c>
      <c r="H46" s="180">
        <f t="shared" si="3"/>
        <v>88969052</v>
      </c>
      <c r="I46" s="180">
        <f t="shared" si="4"/>
        <v>0</v>
      </c>
      <c r="J46" s="180">
        <f>'BC VĐT 2025'!T48</f>
        <v>0</v>
      </c>
      <c r="K46" s="180">
        <f t="shared" si="5"/>
        <v>0</v>
      </c>
      <c r="L46" s="180">
        <f t="shared" si="6"/>
        <v>0</v>
      </c>
      <c r="M46" s="168"/>
      <c r="N46" s="168"/>
    </row>
    <row r="47" spans="1:14" ht="19.5" customHeight="1" x14ac:dyDescent="0.25">
      <c r="A47" s="147">
        <v>6</v>
      </c>
      <c r="B47" s="120" t="s">
        <v>362</v>
      </c>
      <c r="C47" s="180">
        <f>'BC VĐT 2025'!E49</f>
        <v>13414000</v>
      </c>
      <c r="D47" s="180">
        <f>'BC VĐT 2025'!H49</f>
        <v>13414000</v>
      </c>
      <c r="E47" s="180">
        <f>'BC VĐT 2025'!K49</f>
        <v>0</v>
      </c>
      <c r="F47" s="180">
        <f>'BC VĐT 2025'!N49</f>
        <v>13414000</v>
      </c>
      <c r="G47" s="180">
        <f>'BC VĐT 2025'!Q49</f>
        <v>13414000</v>
      </c>
      <c r="H47" s="180">
        <f t="shared" si="3"/>
        <v>13414000</v>
      </c>
      <c r="I47" s="180">
        <f t="shared" si="4"/>
        <v>0</v>
      </c>
      <c r="J47" s="180">
        <f>'BC VĐT 2025'!T49</f>
        <v>0</v>
      </c>
      <c r="K47" s="180">
        <f t="shared" si="5"/>
        <v>0</v>
      </c>
      <c r="L47" s="180">
        <f t="shared" si="6"/>
        <v>0</v>
      </c>
      <c r="M47" s="170"/>
      <c r="N47" s="170"/>
    </row>
    <row r="48" spans="1:14" ht="30.75" customHeight="1" x14ac:dyDescent="0.25">
      <c r="A48" s="147">
        <v>7</v>
      </c>
      <c r="B48" s="120" t="s">
        <v>363</v>
      </c>
      <c r="C48" s="180">
        <f>'BC VĐT 2025'!E50</f>
        <v>27262265</v>
      </c>
      <c r="D48" s="180">
        <f>'BC VĐT 2025'!H50</f>
        <v>16620000</v>
      </c>
      <c r="E48" s="180">
        <f>'BC VĐT 2025'!K50</f>
        <v>10642265</v>
      </c>
      <c r="F48" s="180">
        <f>'BC VĐT 2025'!N50</f>
        <v>0</v>
      </c>
      <c r="G48" s="180">
        <f>'BC VĐT 2025'!Q50</f>
        <v>0</v>
      </c>
      <c r="H48" s="180">
        <f t="shared" si="3"/>
        <v>0</v>
      </c>
      <c r="I48" s="180">
        <f t="shared" si="4"/>
        <v>0</v>
      </c>
      <c r="J48" s="180">
        <f>'BC VĐT 2025'!T50</f>
        <v>0</v>
      </c>
      <c r="K48" s="180">
        <f t="shared" si="5"/>
        <v>0</v>
      </c>
      <c r="L48" s="180">
        <f t="shared" si="6"/>
        <v>0</v>
      </c>
      <c r="M48" s="170"/>
      <c r="N48" s="170"/>
    </row>
    <row r="49" spans="1:14" s="273" customFormat="1" ht="24" customHeight="1" x14ac:dyDescent="0.25">
      <c r="A49" s="148" t="s">
        <v>51</v>
      </c>
      <c r="B49" s="108" t="s">
        <v>364</v>
      </c>
      <c r="C49" s="270">
        <f>SUM(C50:C55)</f>
        <v>7852719695</v>
      </c>
      <c r="D49" s="270">
        <f t="shared" ref="D49:L49" si="11">SUM(D50:D55)</f>
        <v>7758520695</v>
      </c>
      <c r="E49" s="270">
        <f t="shared" si="11"/>
        <v>94199000</v>
      </c>
      <c r="F49" s="270">
        <f t="shared" si="11"/>
        <v>4057000718</v>
      </c>
      <c r="G49" s="270">
        <f t="shared" si="11"/>
        <v>3962801718</v>
      </c>
      <c r="H49" s="270">
        <f t="shared" si="11"/>
        <v>2993801718</v>
      </c>
      <c r="I49" s="270">
        <f t="shared" si="11"/>
        <v>969000000</v>
      </c>
      <c r="J49" s="270">
        <f t="shared" si="11"/>
        <v>94199000</v>
      </c>
      <c r="K49" s="270">
        <f t="shared" si="11"/>
        <v>94199000</v>
      </c>
      <c r="L49" s="270">
        <f t="shared" si="11"/>
        <v>0</v>
      </c>
      <c r="M49" s="271">
        <f>F49/C49</f>
        <v>0.51663638530013778</v>
      </c>
      <c r="N49" s="274"/>
    </row>
    <row r="50" spans="1:14" ht="31.5" customHeight="1" x14ac:dyDescent="0.25">
      <c r="A50" s="147">
        <v>1</v>
      </c>
      <c r="B50" s="120" t="s">
        <v>365</v>
      </c>
      <c r="C50" s="180">
        <f>'BC VĐT 2025'!E52</f>
        <v>668134000</v>
      </c>
      <c r="D50" s="180">
        <f>'BC VĐT 2025'!H52</f>
        <v>668134000</v>
      </c>
      <c r="E50" s="180">
        <f>'BC VĐT 2025'!K52</f>
        <v>0</v>
      </c>
      <c r="F50" s="180">
        <f>'BC VĐT 2025'!N52</f>
        <v>474594682</v>
      </c>
      <c r="G50" s="180">
        <f>'BC VĐT 2025'!Q52</f>
        <v>474594682</v>
      </c>
      <c r="H50" s="180">
        <f t="shared" si="3"/>
        <v>474594682</v>
      </c>
      <c r="I50" s="180">
        <f t="shared" si="4"/>
        <v>0</v>
      </c>
      <c r="J50" s="180">
        <f>'BC VĐT 2025'!T52</f>
        <v>0</v>
      </c>
      <c r="K50" s="180">
        <f t="shared" si="5"/>
        <v>0</v>
      </c>
      <c r="L50" s="180">
        <f t="shared" si="6"/>
        <v>0</v>
      </c>
      <c r="M50" s="170"/>
      <c r="N50" s="170"/>
    </row>
    <row r="51" spans="1:14" ht="31.5" customHeight="1" x14ac:dyDescent="0.25">
      <c r="A51" s="147">
        <v>2</v>
      </c>
      <c r="B51" s="120" t="s">
        <v>366</v>
      </c>
      <c r="C51" s="180">
        <f>'BC VĐT 2025'!E53</f>
        <v>162996836</v>
      </c>
      <c r="D51" s="180">
        <f>'BC VĐT 2025'!H53</f>
        <v>162996836</v>
      </c>
      <c r="E51" s="180">
        <f>'BC VĐT 2025'!K53</f>
        <v>0</v>
      </c>
      <c r="F51" s="180">
        <f>'BC VĐT 2025'!N53</f>
        <v>140707036</v>
      </c>
      <c r="G51" s="180">
        <f>'BC VĐT 2025'!Q53</f>
        <v>140707036</v>
      </c>
      <c r="H51" s="180">
        <f t="shared" si="3"/>
        <v>140707036</v>
      </c>
      <c r="I51" s="180">
        <f t="shared" si="4"/>
        <v>0</v>
      </c>
      <c r="J51" s="180">
        <f>'BC VĐT 2025'!T53</f>
        <v>0</v>
      </c>
      <c r="K51" s="180">
        <f t="shared" si="5"/>
        <v>0</v>
      </c>
      <c r="L51" s="180">
        <f t="shared" si="6"/>
        <v>0</v>
      </c>
      <c r="M51" s="170"/>
      <c r="N51" s="170"/>
    </row>
    <row r="52" spans="1:14" ht="31.5" customHeight="1" x14ac:dyDescent="0.25">
      <c r="A52" s="147">
        <v>3</v>
      </c>
      <c r="B52" s="120" t="s">
        <v>367</v>
      </c>
      <c r="C52" s="180">
        <f>'BC VĐT 2025'!E54</f>
        <v>94199000</v>
      </c>
      <c r="D52" s="180">
        <f>'BC VĐT 2025'!H54</f>
        <v>0</v>
      </c>
      <c r="E52" s="180">
        <f>'BC VĐT 2025'!K54</f>
        <v>94199000</v>
      </c>
      <c r="F52" s="180">
        <f>'BC VĐT 2025'!N54</f>
        <v>94199000</v>
      </c>
      <c r="G52" s="180">
        <f>'BC VĐT 2025'!Q54</f>
        <v>0</v>
      </c>
      <c r="H52" s="180">
        <f t="shared" si="3"/>
        <v>0</v>
      </c>
      <c r="I52" s="180">
        <f t="shared" si="4"/>
        <v>0</v>
      </c>
      <c r="J52" s="180">
        <f>'BC VĐT 2025'!T54</f>
        <v>94199000</v>
      </c>
      <c r="K52" s="180">
        <f t="shared" si="5"/>
        <v>94199000</v>
      </c>
      <c r="L52" s="180">
        <f t="shared" si="6"/>
        <v>0</v>
      </c>
      <c r="M52" s="170"/>
      <c r="N52" s="170"/>
    </row>
    <row r="53" spans="1:14" ht="31.5" customHeight="1" x14ac:dyDescent="0.25">
      <c r="A53" s="147">
        <v>4</v>
      </c>
      <c r="B53" s="120" t="s">
        <v>368</v>
      </c>
      <c r="C53" s="180">
        <f>'BC VĐT 2025'!E55</f>
        <v>6807628012</v>
      </c>
      <c r="D53" s="180">
        <f>'BC VĐT 2025'!H55</f>
        <v>6807628012</v>
      </c>
      <c r="E53" s="180">
        <f>'BC VĐT 2025'!K55</f>
        <v>0</v>
      </c>
      <c r="F53" s="180">
        <f>'BC VĐT 2025'!N55</f>
        <v>3347500000</v>
      </c>
      <c r="G53" s="180">
        <f>'BC VĐT 2025'!Q55</f>
        <v>3347500000</v>
      </c>
      <c r="H53" s="180">
        <f>G53-I53</f>
        <v>2378500000</v>
      </c>
      <c r="I53" s="180">
        <v>969000000</v>
      </c>
      <c r="J53" s="180">
        <f>'BC VĐT 2025'!T55</f>
        <v>0</v>
      </c>
      <c r="K53" s="180">
        <f t="shared" si="5"/>
        <v>0</v>
      </c>
      <c r="L53" s="180">
        <f t="shared" si="6"/>
        <v>0</v>
      </c>
      <c r="M53" s="170"/>
      <c r="N53" s="170"/>
    </row>
    <row r="54" spans="1:14" ht="44.25" customHeight="1" x14ac:dyDescent="0.25">
      <c r="A54" s="147">
        <v>5</v>
      </c>
      <c r="B54" s="120" t="s">
        <v>369</v>
      </c>
      <c r="C54" s="180">
        <f>'BC VĐT 2025'!E56</f>
        <v>58354000</v>
      </c>
      <c r="D54" s="180">
        <f>'BC VĐT 2025'!H56</f>
        <v>58354000</v>
      </c>
      <c r="E54" s="180">
        <f>'BC VĐT 2025'!K56</f>
        <v>0</v>
      </c>
      <c r="F54" s="180">
        <f>'BC VĐT 2025'!N56</f>
        <v>0</v>
      </c>
      <c r="G54" s="180">
        <f>'BC VĐT 2025'!Q56</f>
        <v>0</v>
      </c>
      <c r="H54" s="180">
        <f t="shared" si="3"/>
        <v>0</v>
      </c>
      <c r="I54" s="180">
        <f t="shared" si="4"/>
        <v>0</v>
      </c>
      <c r="J54" s="180">
        <f>'BC VĐT 2025'!T56</f>
        <v>0</v>
      </c>
      <c r="K54" s="180">
        <f t="shared" si="5"/>
        <v>0</v>
      </c>
      <c r="L54" s="180">
        <f t="shared" si="6"/>
        <v>0</v>
      </c>
      <c r="M54" s="170"/>
      <c r="N54" s="170"/>
    </row>
    <row r="55" spans="1:14" ht="44.25" customHeight="1" x14ac:dyDescent="0.25">
      <c r="A55" s="147">
        <v>6</v>
      </c>
      <c r="B55" s="120" t="s">
        <v>370</v>
      </c>
      <c r="C55" s="180">
        <f>'BC VĐT 2025'!E57</f>
        <v>61407847</v>
      </c>
      <c r="D55" s="180">
        <f>'BC VĐT 2025'!H57</f>
        <v>61407847</v>
      </c>
      <c r="E55" s="180">
        <f>'BC VĐT 2025'!K57</f>
        <v>0</v>
      </c>
      <c r="F55" s="180">
        <f>'BC VĐT 2025'!N57</f>
        <v>0</v>
      </c>
      <c r="G55" s="180">
        <f>'BC VĐT 2025'!Q57</f>
        <v>0</v>
      </c>
      <c r="H55" s="180">
        <f t="shared" si="3"/>
        <v>0</v>
      </c>
      <c r="I55" s="180">
        <f t="shared" si="4"/>
        <v>0</v>
      </c>
      <c r="J55" s="180">
        <f>'BC VĐT 2025'!T57</f>
        <v>0</v>
      </c>
      <c r="K55" s="180">
        <f t="shared" si="5"/>
        <v>0</v>
      </c>
      <c r="L55" s="180">
        <f t="shared" si="6"/>
        <v>0</v>
      </c>
      <c r="M55" s="170"/>
      <c r="N55" s="170"/>
    </row>
  </sheetData>
  <mergeCells count="16">
    <mergeCell ref="A1:N1"/>
    <mergeCell ref="M5:M7"/>
    <mergeCell ref="N5:N7"/>
    <mergeCell ref="G6:I6"/>
    <mergeCell ref="J6:L6"/>
    <mergeCell ref="F5:L5"/>
    <mergeCell ref="F6:F7"/>
    <mergeCell ref="C5:E5"/>
    <mergeCell ref="C6:C7"/>
    <mergeCell ref="D6:D7"/>
    <mergeCell ref="E6:E7"/>
    <mergeCell ref="A2:N2"/>
    <mergeCell ref="A3:N3"/>
    <mergeCell ref="D4:N4"/>
    <mergeCell ref="A5:A7"/>
    <mergeCell ref="B5:B7"/>
  </mergeCells>
  <pageMargins left="0.26" right="0.18" top="0.43" bottom="0.45" header="0.3" footer="0.2"/>
  <pageSetup paperSize="9" scale="85" firstPageNumber="8" orientation="landscape" useFirstPageNumber="1" verticalDpi="0" r:id="rId1"/>
  <headerFooter>
    <oddFooter>&amp;C &amp;P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38"/>
  <sheetViews>
    <sheetView view="pageBreakPreview" topLeftCell="A4" zoomScale="115" zoomScaleNormal="100" zoomScaleSheetLayoutView="115" workbookViewId="0">
      <selection activeCell="A2" sqref="A2:G2"/>
    </sheetView>
  </sheetViews>
  <sheetFormatPr defaultColWidth="9" defaultRowHeight="15" x14ac:dyDescent="0.25"/>
  <cols>
    <col min="1" max="1" width="5.85546875" style="52" customWidth="1"/>
    <col min="2" max="2" width="35.85546875" style="52" customWidth="1"/>
    <col min="3" max="3" width="13.42578125" style="52" customWidth="1"/>
    <col min="4" max="4" width="13.7109375" style="52" customWidth="1"/>
    <col min="5" max="5" width="11.7109375" style="52" customWidth="1"/>
    <col min="6" max="6" width="8.28515625" style="52" customWidth="1"/>
    <col min="7" max="7" width="9" style="52"/>
    <col min="8" max="8" width="14.7109375" style="52" customWidth="1"/>
    <col min="9" max="16384" width="9" style="52"/>
  </cols>
  <sheetData>
    <row r="1" spans="1:6" ht="47.25" customHeight="1" x14ac:dyDescent="0.25">
      <c r="B1" s="175"/>
      <c r="C1" s="175"/>
      <c r="D1" s="837" t="s">
        <v>408</v>
      </c>
      <c r="E1" s="837"/>
      <c r="F1" s="837"/>
    </row>
    <row r="2" spans="1:6" ht="18.75" customHeight="1" x14ac:dyDescent="0.25">
      <c r="A2" s="838" t="s">
        <v>227</v>
      </c>
      <c r="B2" s="838"/>
      <c r="C2" s="838"/>
      <c r="D2" s="838"/>
      <c r="E2" s="838"/>
      <c r="F2" s="838"/>
    </row>
    <row r="3" spans="1:6" ht="18.75" customHeight="1" x14ac:dyDescent="0.25">
      <c r="A3" s="834" t="s">
        <v>371</v>
      </c>
      <c r="B3" s="834"/>
      <c r="C3" s="834"/>
      <c r="D3" s="834"/>
      <c r="E3" s="834"/>
      <c r="F3" s="834"/>
    </row>
    <row r="4" spans="1:6" ht="18.75" customHeight="1" x14ac:dyDescent="0.25">
      <c r="A4" s="835" t="str">
        <f>Chi!A3</f>
        <v>(Kèm theo Báo cáo số:   449  /BC-UBND ngày   30 /11/2025 của UBND xã Cao Minh)</v>
      </c>
      <c r="B4" s="835"/>
      <c r="C4" s="835"/>
      <c r="D4" s="835"/>
      <c r="E4" s="835"/>
      <c r="F4" s="835"/>
    </row>
    <row r="5" spans="1:6" ht="18.75" customHeight="1" x14ac:dyDescent="0.25">
      <c r="A5" s="836" t="s">
        <v>228</v>
      </c>
      <c r="B5" s="836"/>
      <c r="C5" s="836"/>
      <c r="D5" s="836"/>
      <c r="E5" s="836"/>
      <c r="F5" s="836"/>
    </row>
    <row r="6" spans="1:6" ht="19.5" customHeight="1" x14ac:dyDescent="0.25">
      <c r="A6" s="833" t="s">
        <v>0</v>
      </c>
      <c r="B6" s="833" t="s">
        <v>16</v>
      </c>
      <c r="C6" s="833" t="s">
        <v>372</v>
      </c>
      <c r="D6" s="833" t="s">
        <v>373</v>
      </c>
      <c r="E6" s="833" t="s">
        <v>17</v>
      </c>
      <c r="F6" s="833"/>
    </row>
    <row r="7" spans="1:6" ht="33.75" customHeight="1" x14ac:dyDescent="0.25">
      <c r="A7" s="833"/>
      <c r="B7" s="833"/>
      <c r="C7" s="833"/>
      <c r="D7" s="833"/>
      <c r="E7" s="151" t="s">
        <v>18</v>
      </c>
      <c r="F7" s="151" t="s">
        <v>19</v>
      </c>
    </row>
    <row r="8" spans="1:6" x14ac:dyDescent="0.25">
      <c r="A8" s="151" t="s">
        <v>6</v>
      </c>
      <c r="B8" s="151" t="s">
        <v>7</v>
      </c>
      <c r="C8" s="151">
        <v>1</v>
      </c>
      <c r="D8" s="151">
        <v>2</v>
      </c>
      <c r="E8" s="151" t="s">
        <v>20</v>
      </c>
      <c r="F8" s="151" t="s">
        <v>21</v>
      </c>
    </row>
    <row r="9" spans="1:6" ht="21.75" customHeight="1" x14ac:dyDescent="0.25">
      <c r="A9" s="151" t="s">
        <v>6</v>
      </c>
      <c r="B9" s="152" t="s">
        <v>22</v>
      </c>
      <c r="C9" s="187">
        <f>C10+C13+C16+C17+C18</f>
        <v>228631540870</v>
      </c>
      <c r="D9" s="187">
        <f>D10+D13+D16+D17+D18</f>
        <v>228691540870</v>
      </c>
      <c r="E9" s="187">
        <f>E10+E13+E16+E17+E18</f>
        <v>60000000</v>
      </c>
      <c r="F9" s="195">
        <f>D9/C9</f>
        <v>1.0002624309829331</v>
      </c>
    </row>
    <row r="10" spans="1:6" ht="21.75" customHeight="1" x14ac:dyDescent="0.25">
      <c r="A10" s="151" t="s">
        <v>23</v>
      </c>
      <c r="B10" s="152" t="s">
        <v>24</v>
      </c>
      <c r="C10" s="187"/>
      <c r="D10" s="187">
        <f>D11+D12</f>
        <v>60000000</v>
      </c>
      <c r="E10" s="187">
        <f>E11+E12</f>
        <v>60000000</v>
      </c>
      <c r="F10" s="195"/>
    </row>
    <row r="11" spans="1:6" ht="21.75" customHeight="1" x14ac:dyDescent="0.25">
      <c r="A11" s="153">
        <v>1</v>
      </c>
      <c r="B11" s="154" t="s">
        <v>25</v>
      </c>
      <c r="C11" s="189"/>
      <c r="D11" s="189">
        <v>60000000</v>
      </c>
      <c r="E11" s="189">
        <f>D11-C11</f>
        <v>60000000</v>
      </c>
      <c r="F11" s="153"/>
    </row>
    <row r="12" spans="1:6" ht="21.75" customHeight="1" x14ac:dyDescent="0.25">
      <c r="A12" s="153">
        <v>2</v>
      </c>
      <c r="B12" s="154" t="s">
        <v>26</v>
      </c>
      <c r="C12" s="189"/>
      <c r="D12" s="189"/>
      <c r="E12" s="189"/>
      <c r="F12" s="153"/>
    </row>
    <row r="13" spans="1:6" ht="21.75" customHeight="1" x14ac:dyDescent="0.25">
      <c r="A13" s="151" t="s">
        <v>27</v>
      </c>
      <c r="B13" s="152" t="s">
        <v>28</v>
      </c>
      <c r="C13" s="187">
        <f>C14+C15</f>
        <v>190086540870</v>
      </c>
      <c r="D13" s="187">
        <f>D14+D15</f>
        <v>190086540870</v>
      </c>
      <c r="E13" s="187">
        <f>E14+E15</f>
        <v>0</v>
      </c>
      <c r="F13" s="195">
        <f>D13/C13</f>
        <v>1</v>
      </c>
    </row>
    <row r="14" spans="1:6" ht="21.75" customHeight="1" x14ac:dyDescent="0.25">
      <c r="A14" s="153">
        <v>1</v>
      </c>
      <c r="B14" s="154" t="s">
        <v>29</v>
      </c>
      <c r="C14" s="189">
        <v>135875000000</v>
      </c>
      <c r="D14" s="189">
        <f>C14</f>
        <v>135875000000</v>
      </c>
      <c r="E14" s="189"/>
      <c r="F14" s="153"/>
    </row>
    <row r="15" spans="1:6" ht="21.75" customHeight="1" x14ac:dyDescent="0.25">
      <c r="A15" s="153">
        <v>2</v>
      </c>
      <c r="B15" s="154" t="s">
        <v>30</v>
      </c>
      <c r="C15" s="189">
        <f>34432600000+Chi!F8-Chi!F17-1000000000</f>
        <v>54211540870</v>
      </c>
      <c r="D15" s="189">
        <f>C15</f>
        <v>54211540870</v>
      </c>
      <c r="E15" s="189"/>
      <c r="F15" s="153"/>
    </row>
    <row r="16" spans="1:6" ht="21.75" customHeight="1" x14ac:dyDescent="0.25">
      <c r="A16" s="151" t="s">
        <v>31</v>
      </c>
      <c r="B16" s="152" t="s">
        <v>32</v>
      </c>
      <c r="C16" s="187"/>
      <c r="D16" s="187"/>
      <c r="E16" s="187"/>
      <c r="F16" s="151"/>
    </row>
    <row r="17" spans="1:8" ht="21.75" customHeight="1" x14ac:dyDescent="0.25">
      <c r="A17" s="151" t="s">
        <v>33</v>
      </c>
      <c r="B17" s="152" t="s">
        <v>34</v>
      </c>
      <c r="C17" s="187">
        <v>65000000</v>
      </c>
      <c r="D17" s="187">
        <f>C17</f>
        <v>65000000</v>
      </c>
      <c r="E17" s="187">
        <f>D17-C17</f>
        <v>0</v>
      </c>
      <c r="F17" s="195">
        <f t="shared" ref="F17:F20" si="0">D17/C17</f>
        <v>1</v>
      </c>
    </row>
    <row r="18" spans="1:8" ht="21.75" customHeight="1" x14ac:dyDescent="0.25">
      <c r="A18" s="151" t="s">
        <v>35</v>
      </c>
      <c r="B18" s="152" t="s">
        <v>36</v>
      </c>
      <c r="C18" s="187">
        <v>38480000000</v>
      </c>
      <c r="D18" s="187">
        <f>C18</f>
        <v>38480000000</v>
      </c>
      <c r="E18" s="187">
        <f>D18-C18</f>
        <v>0</v>
      </c>
      <c r="F18" s="195">
        <f t="shared" si="0"/>
        <v>1</v>
      </c>
    </row>
    <row r="19" spans="1:8" ht="21.75" customHeight="1" x14ac:dyDescent="0.25">
      <c r="A19" s="151" t="s">
        <v>7</v>
      </c>
      <c r="B19" s="152" t="s">
        <v>37</v>
      </c>
      <c r="C19" s="187">
        <f>C20+C27+C30</f>
        <v>228566540870</v>
      </c>
      <c r="D19" s="187">
        <f t="shared" ref="D19:E19" si="1">D20+D27+D30</f>
        <v>224042054159</v>
      </c>
      <c r="E19" s="187">
        <f t="shared" si="1"/>
        <v>-4524486711</v>
      </c>
      <c r="F19" s="195">
        <f t="shared" si="0"/>
        <v>0.98020494734803132</v>
      </c>
      <c r="H19" s="279">
        <f>C19-D19</f>
        <v>4524486711</v>
      </c>
    </row>
    <row r="20" spans="1:8" ht="21.75" customHeight="1" x14ac:dyDescent="0.25">
      <c r="A20" s="151" t="s">
        <v>23</v>
      </c>
      <c r="B20" s="152" t="s">
        <v>38</v>
      </c>
      <c r="C20" s="187">
        <f>SUM(C21:C26)</f>
        <v>135875000000</v>
      </c>
      <c r="D20" s="187">
        <f t="shared" ref="D20:E20" si="2">SUM(D21:D26)</f>
        <v>133875000000</v>
      </c>
      <c r="E20" s="187">
        <f t="shared" si="2"/>
        <v>-2000000000</v>
      </c>
      <c r="F20" s="195">
        <f t="shared" si="0"/>
        <v>0.98528058877644897</v>
      </c>
      <c r="H20" s="279">
        <f>'BC VSN 2025'!AF13</f>
        <v>4524486711</v>
      </c>
    </row>
    <row r="21" spans="1:8" ht="21.75" customHeight="1" x14ac:dyDescent="0.25">
      <c r="A21" s="153">
        <v>1</v>
      </c>
      <c r="B21" s="154" t="s">
        <v>39</v>
      </c>
      <c r="C21" s="189"/>
      <c r="D21" s="189"/>
      <c r="E21" s="189"/>
      <c r="F21" s="153"/>
      <c r="H21" s="279">
        <f>H20-H19</f>
        <v>0</v>
      </c>
    </row>
    <row r="22" spans="1:8" ht="21.75" customHeight="1" x14ac:dyDescent="0.25">
      <c r="A22" s="153">
        <v>2</v>
      </c>
      <c r="B22" s="154" t="s">
        <v>40</v>
      </c>
      <c r="C22" s="189">
        <v>132984000000</v>
      </c>
      <c r="D22" s="189">
        <f>C22-2000000000</f>
        <v>130984000000</v>
      </c>
      <c r="E22" s="189">
        <f>D22-C22</f>
        <v>-2000000000</v>
      </c>
      <c r="F22" s="153"/>
    </row>
    <row r="23" spans="1:8" ht="29.25" customHeight="1" x14ac:dyDescent="0.25">
      <c r="A23" s="153">
        <v>3</v>
      </c>
      <c r="B23" s="154" t="s">
        <v>41</v>
      </c>
      <c r="C23" s="189"/>
      <c r="D23" s="189"/>
      <c r="E23" s="189"/>
      <c r="F23" s="153"/>
    </row>
    <row r="24" spans="1:8" ht="18.75" customHeight="1" x14ac:dyDescent="0.25">
      <c r="A24" s="153">
        <v>4</v>
      </c>
      <c r="B24" s="154" t="s">
        <v>42</v>
      </c>
      <c r="C24" s="189"/>
      <c r="D24" s="189"/>
      <c r="E24" s="189"/>
      <c r="F24" s="153"/>
    </row>
    <row r="25" spans="1:8" ht="18.75" customHeight="1" x14ac:dyDescent="0.25">
      <c r="A25" s="153">
        <v>5</v>
      </c>
      <c r="B25" s="154" t="s">
        <v>43</v>
      </c>
      <c r="C25" s="189">
        <f>Chi!C30</f>
        <v>2891000000</v>
      </c>
      <c r="D25" s="189">
        <f>C25</f>
        <v>2891000000</v>
      </c>
      <c r="E25" s="189">
        <f>D25-C25</f>
        <v>0</v>
      </c>
      <c r="F25" s="153"/>
    </row>
    <row r="26" spans="1:8" ht="18.75" customHeight="1" x14ac:dyDescent="0.25">
      <c r="A26" s="153">
        <v>6</v>
      </c>
      <c r="B26" s="154" t="s">
        <v>44</v>
      </c>
      <c r="C26" s="189"/>
      <c r="D26" s="189"/>
      <c r="E26" s="189"/>
      <c r="F26" s="153"/>
    </row>
    <row r="27" spans="1:8" ht="18.75" customHeight="1" x14ac:dyDescent="0.25">
      <c r="A27" s="151" t="s">
        <v>27</v>
      </c>
      <c r="B27" s="152" t="s">
        <v>45</v>
      </c>
      <c r="C27" s="187">
        <f>C28+C29</f>
        <v>92691540870</v>
      </c>
      <c r="D27" s="187">
        <f>D28+D29</f>
        <v>83844271434</v>
      </c>
      <c r="E27" s="187">
        <f>E28+E29</f>
        <v>-8847269436</v>
      </c>
      <c r="F27" s="195">
        <f>D27/C27</f>
        <v>0.90455149031983073</v>
      </c>
    </row>
    <row r="28" spans="1:8" ht="18.75" customHeight="1" x14ac:dyDescent="0.25">
      <c r="A28" s="153">
        <v>1</v>
      </c>
      <c r="B28" s="154" t="s">
        <v>46</v>
      </c>
      <c r="C28" s="189">
        <f>'BC VĐT '!C9-'BC VĐT '!C49+'BC VSN 2025'!C9</f>
        <v>61984085960</v>
      </c>
      <c r="D28" s="189">
        <f>'BC VSN 2025'!U9+'BC VĐT 2025'!AF11-'BC VĐT 2025'!AF51</f>
        <v>57298908190</v>
      </c>
      <c r="E28" s="189">
        <f>D28-C28</f>
        <v>-4685177770</v>
      </c>
      <c r="F28" s="153"/>
    </row>
    <row r="29" spans="1:8" ht="18.75" customHeight="1" x14ac:dyDescent="0.25">
      <c r="A29" s="153">
        <v>2</v>
      </c>
      <c r="B29" s="154" t="s">
        <v>47</v>
      </c>
      <c r="C29" s="189">
        <f>C9-C17-C20-C28</f>
        <v>30707454910</v>
      </c>
      <c r="D29" s="189">
        <f>'14'!E40</f>
        <v>26545363244</v>
      </c>
      <c r="E29" s="189">
        <f>D29-C29</f>
        <v>-4162091666</v>
      </c>
      <c r="F29" s="153"/>
    </row>
    <row r="30" spans="1:8" ht="18.75" customHeight="1" x14ac:dyDescent="0.25">
      <c r="A30" s="151" t="s">
        <v>31</v>
      </c>
      <c r="B30" s="152" t="s">
        <v>48</v>
      </c>
      <c r="C30" s="187"/>
      <c r="D30" s="187">
        <f>2000000000+'BC VĐT 2025'!AZ17+'BC VĐT 2025'!AZ21+'BC VĐT 2025'!AZ38+'BC VĐT 2025'!AZ39+'BC VĐT 2025'!AZ40+'BC VĐT 2025'!AZ41+'BC VĐT 2025'!AZ42+'14'!H59-650644344</f>
        <v>6322782725</v>
      </c>
      <c r="E30" s="187">
        <f>D30-C30</f>
        <v>6322782725</v>
      </c>
      <c r="F30" s="195"/>
    </row>
    <row r="31" spans="1:8" ht="18.75" customHeight="1" x14ac:dyDescent="0.25">
      <c r="A31" s="151" t="s">
        <v>49</v>
      </c>
      <c r="B31" s="152" t="s">
        <v>50</v>
      </c>
      <c r="C31" s="187"/>
      <c r="D31" s="187"/>
      <c r="E31" s="187"/>
      <c r="F31" s="151"/>
    </row>
    <row r="32" spans="1:8" ht="18.75" customHeight="1" x14ac:dyDescent="0.25">
      <c r="A32" s="151" t="s">
        <v>51</v>
      </c>
      <c r="B32" s="152" t="s">
        <v>52</v>
      </c>
      <c r="C32" s="187"/>
      <c r="D32" s="187"/>
      <c r="E32" s="187"/>
      <c r="F32" s="151"/>
    </row>
    <row r="33" spans="1:6" ht="18.75" customHeight="1" x14ac:dyDescent="0.25">
      <c r="A33" s="151" t="s">
        <v>23</v>
      </c>
      <c r="B33" s="152" t="s">
        <v>53</v>
      </c>
      <c r="C33" s="187"/>
      <c r="D33" s="187"/>
      <c r="E33" s="187"/>
      <c r="F33" s="151"/>
    </row>
    <row r="34" spans="1:6" ht="30" customHeight="1" x14ac:dyDescent="0.25">
      <c r="A34" s="151" t="s">
        <v>27</v>
      </c>
      <c r="B34" s="152" t="s">
        <v>54</v>
      </c>
      <c r="C34" s="187"/>
      <c r="D34" s="187"/>
      <c r="E34" s="187"/>
      <c r="F34" s="151"/>
    </row>
    <row r="35" spans="1:6" ht="18" customHeight="1" x14ac:dyDescent="0.25">
      <c r="A35" s="151" t="s">
        <v>55</v>
      </c>
      <c r="B35" s="152" t="s">
        <v>56</v>
      </c>
      <c r="C35" s="187"/>
      <c r="D35" s="187"/>
      <c r="E35" s="187"/>
      <c r="F35" s="151"/>
    </row>
    <row r="36" spans="1:6" ht="18" customHeight="1" x14ac:dyDescent="0.25">
      <c r="A36" s="151" t="s">
        <v>23</v>
      </c>
      <c r="B36" s="152" t="s">
        <v>57</v>
      </c>
      <c r="C36" s="187"/>
      <c r="D36" s="187"/>
      <c r="E36" s="187"/>
      <c r="F36" s="151"/>
    </row>
    <row r="37" spans="1:6" ht="18" customHeight="1" x14ac:dyDescent="0.25">
      <c r="A37" s="151" t="s">
        <v>27</v>
      </c>
      <c r="B37" s="152" t="s">
        <v>58</v>
      </c>
      <c r="C37" s="187"/>
      <c r="D37" s="187"/>
      <c r="E37" s="187"/>
      <c r="F37" s="151"/>
    </row>
    <row r="38" spans="1:6" x14ac:dyDescent="0.25">
      <c r="A38" s="61"/>
    </row>
  </sheetData>
  <mergeCells count="10">
    <mergeCell ref="A3:F3"/>
    <mergeCell ref="A4:F4"/>
    <mergeCell ref="A5:F5"/>
    <mergeCell ref="D1:F1"/>
    <mergeCell ref="A2:F2"/>
    <mergeCell ref="A6:A7"/>
    <mergeCell ref="B6:B7"/>
    <mergeCell ref="C6:C7"/>
    <mergeCell ref="D6:D7"/>
    <mergeCell ref="E6:F6"/>
  </mergeCells>
  <pageMargins left="0.41" right="0.2" top="0.46" bottom="0.5" header="0.3" footer="0.24"/>
  <pageSetup paperSize="9" scale="99" firstPageNumber="11" orientation="portrait" useFirstPageNumber="1" verticalDpi="0" r:id="rId1"/>
  <headerFooter>
    <oddFooter>&amp;C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51"/>
  <sheetViews>
    <sheetView view="pageBreakPreview" zoomScale="115" zoomScaleNormal="100" zoomScaleSheetLayoutView="115" workbookViewId="0">
      <selection activeCell="A2" sqref="A2:G2"/>
    </sheetView>
  </sheetViews>
  <sheetFormatPr defaultColWidth="9" defaultRowHeight="15" x14ac:dyDescent="0.25"/>
  <cols>
    <col min="1" max="1" width="6.140625" style="52" customWidth="1"/>
    <col min="2" max="2" width="29.42578125" style="52" customWidth="1"/>
    <col min="3" max="3" width="11.28515625" style="52" customWidth="1"/>
    <col min="4" max="4" width="6.28515625" style="52" customWidth="1"/>
    <col min="5" max="5" width="12.28515625" style="52" customWidth="1"/>
    <col min="6" max="6" width="9.28515625" style="52" customWidth="1"/>
    <col min="7" max="7" width="8" style="52" customWidth="1"/>
    <col min="8" max="8" width="6.42578125" style="52" customWidth="1"/>
    <col min="9" max="16384" width="9" style="52"/>
  </cols>
  <sheetData>
    <row r="1" spans="1:8" ht="45.75" customHeight="1" x14ac:dyDescent="0.25">
      <c r="B1" s="175"/>
      <c r="C1" s="175"/>
      <c r="D1" s="175"/>
      <c r="E1" s="837" t="s">
        <v>409</v>
      </c>
      <c r="F1" s="837"/>
      <c r="G1" s="837"/>
      <c r="H1" s="837"/>
    </row>
    <row r="2" spans="1:8" ht="18" customHeight="1" x14ac:dyDescent="0.25">
      <c r="A2" s="849" t="s">
        <v>232</v>
      </c>
      <c r="B2" s="849"/>
      <c r="C2" s="849"/>
      <c r="D2" s="849"/>
      <c r="E2" s="849"/>
      <c r="F2" s="849"/>
      <c r="G2" s="849"/>
      <c r="H2" s="849"/>
    </row>
    <row r="3" spans="1:8" ht="18" customHeight="1" x14ac:dyDescent="0.25">
      <c r="A3" s="834" t="s">
        <v>374</v>
      </c>
      <c r="B3" s="834"/>
      <c r="C3" s="834"/>
      <c r="D3" s="834"/>
      <c r="E3" s="834"/>
      <c r="F3" s="834"/>
      <c r="G3" s="834"/>
      <c r="H3" s="834"/>
    </row>
    <row r="4" spans="1:8" ht="18" customHeight="1" x14ac:dyDescent="0.25">
      <c r="A4" s="835" t="str">
        <f>'12'!A4:F4</f>
        <v>(Kèm theo Báo cáo số:   449  /BC-UBND ngày   30 /11/2025 của UBND xã Cao Minh)</v>
      </c>
      <c r="B4" s="835"/>
      <c r="C4" s="835"/>
      <c r="D4" s="835"/>
      <c r="E4" s="835"/>
      <c r="F4" s="835"/>
      <c r="G4" s="835"/>
      <c r="H4" s="835"/>
    </row>
    <row r="5" spans="1:8" ht="18" customHeight="1" x14ac:dyDescent="0.25">
      <c r="A5" s="836" t="s">
        <v>228</v>
      </c>
      <c r="B5" s="836"/>
      <c r="C5" s="836"/>
      <c r="D5" s="836"/>
      <c r="E5" s="836"/>
      <c r="F5" s="836"/>
      <c r="G5" s="836"/>
      <c r="H5" s="836"/>
    </row>
    <row r="6" spans="1:8" ht="21" customHeight="1" x14ac:dyDescent="0.25">
      <c r="A6" s="833" t="s">
        <v>0</v>
      </c>
      <c r="B6" s="833" t="s">
        <v>59</v>
      </c>
      <c r="C6" s="833" t="s">
        <v>372</v>
      </c>
      <c r="D6" s="833"/>
      <c r="E6" s="833" t="s">
        <v>373</v>
      </c>
      <c r="F6" s="833"/>
      <c r="G6" s="833" t="s">
        <v>60</v>
      </c>
      <c r="H6" s="833"/>
    </row>
    <row r="7" spans="1:8" ht="39" customHeight="1" x14ac:dyDescent="0.25">
      <c r="A7" s="833"/>
      <c r="B7" s="833"/>
      <c r="C7" s="151" t="s">
        <v>61</v>
      </c>
      <c r="D7" s="151" t="s">
        <v>62</v>
      </c>
      <c r="E7" s="151" t="s">
        <v>61</v>
      </c>
      <c r="F7" s="151" t="s">
        <v>62</v>
      </c>
      <c r="G7" s="151" t="s">
        <v>61</v>
      </c>
      <c r="H7" s="151" t="s">
        <v>62</v>
      </c>
    </row>
    <row r="8" spans="1:8" ht="17.25" customHeight="1" x14ac:dyDescent="0.25">
      <c r="A8" s="151" t="s">
        <v>6</v>
      </c>
      <c r="B8" s="151" t="s">
        <v>7</v>
      </c>
      <c r="C8" s="151">
        <v>1</v>
      </c>
      <c r="D8" s="151">
        <v>2</v>
      </c>
      <c r="E8" s="151">
        <v>3</v>
      </c>
      <c r="F8" s="151">
        <v>4</v>
      </c>
      <c r="G8" s="151" t="s">
        <v>63</v>
      </c>
      <c r="H8" s="151" t="s">
        <v>64</v>
      </c>
    </row>
    <row r="9" spans="1:8" ht="17.25" customHeight="1" x14ac:dyDescent="0.25">
      <c r="A9" s="151"/>
      <c r="B9" s="152" t="s">
        <v>65</v>
      </c>
      <c r="C9" s="187">
        <f>C10+C42+C43+C50</f>
        <v>935000000</v>
      </c>
      <c r="D9" s="187">
        <f t="shared" ref="D9:F9" si="0">D10+D42+D43+D50</f>
        <v>0</v>
      </c>
      <c r="E9" s="187">
        <f t="shared" si="0"/>
        <v>1400000000</v>
      </c>
      <c r="F9" s="187">
        <f t="shared" si="0"/>
        <v>60000000</v>
      </c>
      <c r="G9" s="195">
        <f>E9/C9</f>
        <v>1.4973262032085561</v>
      </c>
      <c r="H9" s="195"/>
    </row>
    <row r="10" spans="1:8" ht="20.25" customHeight="1" x14ac:dyDescent="0.25">
      <c r="A10" s="151" t="s">
        <v>23</v>
      </c>
      <c r="B10" s="152" t="s">
        <v>66</v>
      </c>
      <c r="C10" s="187">
        <f>C11+C13+C15+C17+C19+C20+C23+C24+C29+C30+C31+C32+C33+C34+C36+C37+C38+C39+C40+C41</f>
        <v>935000000</v>
      </c>
      <c r="D10" s="188">
        <f>D11+D13+D15+D17+D19+D20+D23+D24+D29+D30+D31+D32+D33+D34+D36+D37+D38+D39+D40+D41</f>
        <v>0</v>
      </c>
      <c r="E10" s="187">
        <f>E11+E13+E15+E17+E19+E20+E23+E24+E29+E30+E31+E32+E33+E34+E36+E37+E38+E39+E40+E41</f>
        <v>1340000000</v>
      </c>
      <c r="F10" s="187"/>
      <c r="G10" s="195">
        <f>E10/C10</f>
        <v>1.4331550802139037</v>
      </c>
      <c r="H10" s="195"/>
    </row>
    <row r="11" spans="1:8" ht="32.25" customHeight="1" x14ac:dyDescent="0.25">
      <c r="A11" s="839">
        <v>1</v>
      </c>
      <c r="B11" s="154" t="s">
        <v>67</v>
      </c>
      <c r="C11" s="840">
        <v>0</v>
      </c>
      <c r="D11" s="841"/>
      <c r="E11" s="846">
        <f>'[1]16'!C11</f>
        <v>0</v>
      </c>
      <c r="F11" s="846"/>
      <c r="G11" s="843">
        <f>IFERROR(ROUND(E11/C11*100,1),0)</f>
        <v>0</v>
      </c>
      <c r="H11" s="843">
        <f>IFERROR(ROUND(F11/D11*100,1),0)</f>
        <v>0</v>
      </c>
    </row>
    <row r="12" spans="1:8" ht="18" customHeight="1" x14ac:dyDescent="0.25">
      <c r="A12" s="839"/>
      <c r="B12" s="154" t="s">
        <v>68</v>
      </c>
      <c r="C12" s="840"/>
      <c r="D12" s="841"/>
      <c r="E12" s="842"/>
      <c r="F12" s="842"/>
      <c r="G12" s="844"/>
      <c r="H12" s="844"/>
    </row>
    <row r="13" spans="1:8" ht="33" customHeight="1" x14ac:dyDescent="0.25">
      <c r="A13" s="839">
        <v>2</v>
      </c>
      <c r="B13" s="154" t="s">
        <v>69</v>
      </c>
      <c r="C13" s="840">
        <v>19000000</v>
      </c>
      <c r="D13" s="845"/>
      <c r="E13" s="846">
        <v>14474809</v>
      </c>
      <c r="F13" s="846"/>
      <c r="G13" s="847">
        <f>IFERROR(ROUND(E13/C13,1),0)</f>
        <v>0.8</v>
      </c>
      <c r="H13" s="847">
        <f>IFERROR(ROUND(F13/D13,1),0)</f>
        <v>0</v>
      </c>
    </row>
    <row r="14" spans="1:8" ht="18.75" customHeight="1" x14ac:dyDescent="0.25">
      <c r="A14" s="839"/>
      <c r="B14" s="154" t="s">
        <v>68</v>
      </c>
      <c r="C14" s="840"/>
      <c r="D14" s="841"/>
      <c r="E14" s="842"/>
      <c r="F14" s="842"/>
      <c r="G14" s="848"/>
      <c r="H14" s="848"/>
    </row>
    <row r="15" spans="1:8" ht="29.25" customHeight="1" x14ac:dyDescent="0.25">
      <c r="A15" s="839">
        <v>3</v>
      </c>
      <c r="B15" s="154" t="s">
        <v>70</v>
      </c>
      <c r="C15" s="840">
        <v>0</v>
      </c>
      <c r="D15" s="841"/>
      <c r="E15" s="846">
        <f>'[1]16'!C15</f>
        <v>0</v>
      </c>
      <c r="F15" s="846"/>
      <c r="G15" s="843">
        <f t="shared" ref="G15:H15" si="1">IFERROR(ROUND(E15/C15*100,1),0)</f>
        <v>0</v>
      </c>
      <c r="H15" s="843">
        <f t="shared" si="1"/>
        <v>0</v>
      </c>
    </row>
    <row r="16" spans="1:8" ht="18" customHeight="1" x14ac:dyDescent="0.25">
      <c r="A16" s="839"/>
      <c r="B16" s="154" t="s">
        <v>68</v>
      </c>
      <c r="C16" s="840"/>
      <c r="D16" s="841"/>
      <c r="E16" s="842"/>
      <c r="F16" s="842"/>
      <c r="G16" s="844"/>
      <c r="H16" s="844"/>
    </row>
    <row r="17" spans="1:8" ht="27.75" customHeight="1" x14ac:dyDescent="0.25">
      <c r="A17" s="839">
        <v>4</v>
      </c>
      <c r="B17" s="154" t="s">
        <v>71</v>
      </c>
      <c r="C17" s="840">
        <v>114000000</v>
      </c>
      <c r="D17" s="845"/>
      <c r="E17" s="846">
        <v>488000000</v>
      </c>
      <c r="F17" s="846"/>
      <c r="G17" s="847">
        <f>IFERROR(ROUND(E17/C17,1),0)</f>
        <v>4.3</v>
      </c>
      <c r="H17" s="847">
        <f>IFERROR(ROUND(F17/D17,1),0)</f>
        <v>0</v>
      </c>
    </row>
    <row r="18" spans="1:8" ht="17.25" customHeight="1" x14ac:dyDescent="0.25">
      <c r="A18" s="839"/>
      <c r="B18" s="154" t="s">
        <v>68</v>
      </c>
      <c r="C18" s="840"/>
      <c r="D18" s="841"/>
      <c r="E18" s="842"/>
      <c r="F18" s="842"/>
      <c r="G18" s="848"/>
      <c r="H18" s="848"/>
    </row>
    <row r="19" spans="1:8" ht="17.25" customHeight="1" x14ac:dyDescent="0.25">
      <c r="A19" s="153">
        <v>5</v>
      </c>
      <c r="B19" s="154" t="s">
        <v>72</v>
      </c>
      <c r="C19" s="189">
        <v>73000000</v>
      </c>
      <c r="D19" s="193"/>
      <c r="E19" s="191">
        <v>195000000</v>
      </c>
      <c r="F19" s="191"/>
      <c r="G19" s="196">
        <f>IFERROR(ROUND(E19/C19,1),0)</f>
        <v>2.7</v>
      </c>
      <c r="H19" s="196">
        <f>IFERROR(ROUND(F19/D19,1),0)</f>
        <v>0</v>
      </c>
    </row>
    <row r="20" spans="1:8" ht="17.25" customHeight="1" x14ac:dyDescent="0.25">
      <c r="A20" s="153">
        <v>6</v>
      </c>
      <c r="B20" s="154" t="s">
        <v>73</v>
      </c>
      <c r="C20" s="189">
        <v>0</v>
      </c>
      <c r="D20" s="190"/>
      <c r="E20" s="192">
        <v>0</v>
      </c>
      <c r="F20" s="192"/>
      <c r="G20" s="186">
        <f t="shared" ref="G20:H41" si="2">IFERROR(ROUND(E20/C20*100,1),0)</f>
        <v>0</v>
      </c>
      <c r="H20" s="186">
        <f t="shared" si="2"/>
        <v>0</v>
      </c>
    </row>
    <row r="21" spans="1:8" ht="29.25" customHeight="1" x14ac:dyDescent="0.25">
      <c r="A21" s="153" t="s">
        <v>74</v>
      </c>
      <c r="B21" s="156" t="s">
        <v>75</v>
      </c>
      <c r="C21" s="189">
        <v>0</v>
      </c>
      <c r="D21" s="190"/>
      <c r="E21" s="192">
        <v>0</v>
      </c>
      <c r="F21" s="192"/>
      <c r="G21" s="186">
        <f t="shared" si="2"/>
        <v>0</v>
      </c>
      <c r="H21" s="186">
        <f t="shared" si="2"/>
        <v>0</v>
      </c>
    </row>
    <row r="22" spans="1:8" ht="17.25" customHeight="1" x14ac:dyDescent="0.25">
      <c r="A22" s="153" t="s">
        <v>74</v>
      </c>
      <c r="B22" s="156" t="s">
        <v>76</v>
      </c>
      <c r="C22" s="189">
        <v>0</v>
      </c>
      <c r="D22" s="190"/>
      <c r="E22" s="192">
        <v>0</v>
      </c>
      <c r="F22" s="192"/>
      <c r="G22" s="186">
        <f t="shared" si="2"/>
        <v>0</v>
      </c>
      <c r="H22" s="186">
        <f t="shared" si="2"/>
        <v>0</v>
      </c>
    </row>
    <row r="23" spans="1:8" ht="17.25" customHeight="1" x14ac:dyDescent="0.25">
      <c r="A23" s="153">
        <v>7</v>
      </c>
      <c r="B23" s="154" t="s">
        <v>77</v>
      </c>
      <c r="C23" s="189">
        <v>346000000</v>
      </c>
      <c r="D23" s="193"/>
      <c r="E23" s="191">
        <v>410505191</v>
      </c>
      <c r="F23" s="191"/>
      <c r="G23" s="196">
        <f>IFERROR(ROUND(E23/C23,1),0)</f>
        <v>1.2</v>
      </c>
      <c r="H23" s="196">
        <f>IFERROR(ROUND(F23/D23,1),0)</f>
        <v>0</v>
      </c>
    </row>
    <row r="24" spans="1:8" ht="17.25" customHeight="1" x14ac:dyDescent="0.25">
      <c r="A24" s="153">
        <v>8</v>
      </c>
      <c r="B24" s="154" t="s">
        <v>78</v>
      </c>
      <c r="C24" s="193">
        <v>73000000</v>
      </c>
      <c r="D24" s="193"/>
      <c r="E24" s="191">
        <v>112000000</v>
      </c>
      <c r="F24" s="191"/>
      <c r="G24" s="196">
        <f>IFERROR(ROUND(E24/C24,1),0)</f>
        <v>1.5</v>
      </c>
      <c r="H24" s="196">
        <f>IFERROR(ROUND(F24/D24,1),0)</f>
        <v>0</v>
      </c>
    </row>
    <row r="25" spans="1:8" ht="17.25" customHeight="1" x14ac:dyDescent="0.25">
      <c r="A25" s="153" t="s">
        <v>74</v>
      </c>
      <c r="B25" s="156" t="s">
        <v>79</v>
      </c>
      <c r="C25" s="193">
        <v>0</v>
      </c>
      <c r="D25" s="190"/>
      <c r="E25" s="191">
        <v>12000000</v>
      </c>
      <c r="F25" s="191"/>
      <c r="G25" s="186">
        <f>IFERROR(ROUND(E25/C25*100,1),0)</f>
        <v>0</v>
      </c>
      <c r="H25" s="186">
        <f t="shared" si="2"/>
        <v>0</v>
      </c>
    </row>
    <row r="26" spans="1:8" ht="17.25" customHeight="1" x14ac:dyDescent="0.25">
      <c r="A26" s="153" t="s">
        <v>74</v>
      </c>
      <c r="B26" s="156" t="s">
        <v>80</v>
      </c>
      <c r="C26" s="193">
        <v>0</v>
      </c>
      <c r="D26" s="190"/>
      <c r="E26" s="191">
        <f>'[1]16'!C26</f>
        <v>0</v>
      </c>
      <c r="F26" s="191"/>
      <c r="G26" s="186">
        <f t="shared" si="2"/>
        <v>0</v>
      </c>
      <c r="H26" s="186">
        <f t="shared" si="2"/>
        <v>0</v>
      </c>
    </row>
    <row r="27" spans="1:8" ht="17.25" customHeight="1" x14ac:dyDescent="0.25">
      <c r="A27" s="153" t="s">
        <v>74</v>
      </c>
      <c r="B27" s="156" t="s">
        <v>81</v>
      </c>
      <c r="C27" s="193">
        <v>0</v>
      </c>
      <c r="D27" s="190"/>
      <c r="E27" s="191">
        <f>'[1]16'!C27</f>
        <v>0</v>
      </c>
      <c r="F27" s="191"/>
      <c r="G27" s="186">
        <f t="shared" si="2"/>
        <v>0</v>
      </c>
      <c r="H27" s="186">
        <f t="shared" si="2"/>
        <v>0</v>
      </c>
    </row>
    <row r="28" spans="1:8" ht="17.25" customHeight="1" x14ac:dyDescent="0.25">
      <c r="A28" s="153" t="s">
        <v>74</v>
      </c>
      <c r="B28" s="156" t="s">
        <v>82</v>
      </c>
      <c r="C28" s="193">
        <v>73000000</v>
      </c>
      <c r="D28" s="193"/>
      <c r="E28" s="191">
        <v>100000000</v>
      </c>
      <c r="F28" s="191"/>
      <c r="G28" s="196">
        <f>IFERROR(ROUND(E28/C28,1),0)</f>
        <v>1.4</v>
      </c>
      <c r="H28" s="196">
        <f>IFERROR(ROUND(F28/D28,1),0)</f>
        <v>0</v>
      </c>
    </row>
    <row r="29" spans="1:8" ht="17.25" customHeight="1" x14ac:dyDescent="0.25">
      <c r="A29" s="153">
        <v>9</v>
      </c>
      <c r="B29" s="154" t="s">
        <v>83</v>
      </c>
      <c r="C29" s="189">
        <v>0</v>
      </c>
      <c r="D29" s="190"/>
      <c r="E29" s="191">
        <v>0</v>
      </c>
      <c r="F29" s="191"/>
      <c r="G29" s="186">
        <f t="shared" si="2"/>
        <v>0</v>
      </c>
      <c r="H29" s="186">
        <f t="shared" si="2"/>
        <v>0</v>
      </c>
    </row>
    <row r="30" spans="1:8" ht="17.25" customHeight="1" x14ac:dyDescent="0.25">
      <c r="A30" s="153">
        <v>10</v>
      </c>
      <c r="B30" s="154" t="s">
        <v>84</v>
      </c>
      <c r="C30" s="189">
        <v>0</v>
      </c>
      <c r="D30" s="190"/>
      <c r="E30" s="191">
        <v>20000</v>
      </c>
      <c r="F30" s="191"/>
      <c r="G30" s="186">
        <f t="shared" si="2"/>
        <v>0</v>
      </c>
      <c r="H30" s="186">
        <f t="shared" si="2"/>
        <v>0</v>
      </c>
    </row>
    <row r="31" spans="1:8" ht="17.25" customHeight="1" x14ac:dyDescent="0.25">
      <c r="A31" s="153">
        <v>11</v>
      </c>
      <c r="B31" s="154" t="s">
        <v>85</v>
      </c>
      <c r="C31" s="189">
        <v>0</v>
      </c>
      <c r="D31" s="190"/>
      <c r="E31" s="191">
        <f>'[1]16'!C31</f>
        <v>0</v>
      </c>
      <c r="F31" s="191"/>
      <c r="G31" s="186">
        <f t="shared" si="2"/>
        <v>0</v>
      </c>
      <c r="H31" s="186">
        <f t="shared" si="2"/>
        <v>0</v>
      </c>
    </row>
    <row r="32" spans="1:8" ht="17.25" customHeight="1" x14ac:dyDescent="0.25">
      <c r="A32" s="153">
        <v>12</v>
      </c>
      <c r="B32" s="154" t="s">
        <v>86</v>
      </c>
      <c r="C32" s="189">
        <v>0</v>
      </c>
      <c r="D32" s="190"/>
      <c r="E32" s="191">
        <f>'[1]16'!C32</f>
        <v>0</v>
      </c>
      <c r="F32" s="191"/>
      <c r="G32" s="186">
        <f t="shared" si="2"/>
        <v>0</v>
      </c>
      <c r="H32" s="186">
        <f t="shared" si="2"/>
        <v>0</v>
      </c>
    </row>
    <row r="33" spans="1:8" ht="31.5" customHeight="1" x14ac:dyDescent="0.25">
      <c r="A33" s="153">
        <v>13</v>
      </c>
      <c r="B33" s="154" t="s">
        <v>87</v>
      </c>
      <c r="C33" s="189">
        <v>0</v>
      </c>
      <c r="D33" s="190"/>
      <c r="E33" s="192">
        <v>0</v>
      </c>
      <c r="F33" s="192"/>
      <c r="G33" s="186">
        <f t="shared" si="2"/>
        <v>0</v>
      </c>
      <c r="H33" s="186">
        <f t="shared" si="2"/>
        <v>0</v>
      </c>
    </row>
    <row r="34" spans="1:8" ht="18" customHeight="1" x14ac:dyDescent="0.25">
      <c r="A34" s="839">
        <v>14</v>
      </c>
      <c r="B34" s="154" t="s">
        <v>88</v>
      </c>
      <c r="C34" s="840">
        <v>0</v>
      </c>
      <c r="D34" s="841"/>
      <c r="E34" s="842">
        <v>0</v>
      </c>
      <c r="F34" s="842"/>
      <c r="G34" s="839">
        <f t="shared" si="2"/>
        <v>0</v>
      </c>
      <c r="H34" s="839">
        <f t="shared" si="2"/>
        <v>0</v>
      </c>
    </row>
    <row r="35" spans="1:8" ht="18" customHeight="1" x14ac:dyDescent="0.25">
      <c r="A35" s="839"/>
      <c r="B35" s="154" t="s">
        <v>68</v>
      </c>
      <c r="C35" s="840"/>
      <c r="D35" s="841"/>
      <c r="E35" s="842"/>
      <c r="F35" s="842"/>
      <c r="G35" s="839">
        <f t="shared" si="2"/>
        <v>0</v>
      </c>
      <c r="H35" s="839">
        <f t="shared" si="2"/>
        <v>0</v>
      </c>
    </row>
    <row r="36" spans="1:8" ht="18" customHeight="1" x14ac:dyDescent="0.25">
      <c r="A36" s="153">
        <v>15</v>
      </c>
      <c r="B36" s="154" t="s">
        <v>89</v>
      </c>
      <c r="C36" s="189">
        <v>0</v>
      </c>
      <c r="D36" s="190"/>
      <c r="E36" s="192">
        <v>0</v>
      </c>
      <c r="F36" s="192"/>
      <c r="G36" s="153">
        <f t="shared" si="2"/>
        <v>0</v>
      </c>
      <c r="H36" s="153">
        <f t="shared" si="2"/>
        <v>0</v>
      </c>
    </row>
    <row r="37" spans="1:8" ht="18" customHeight="1" x14ac:dyDescent="0.25">
      <c r="A37" s="153">
        <v>16</v>
      </c>
      <c r="B37" s="154" t="s">
        <v>90</v>
      </c>
      <c r="C37" s="189">
        <v>310000000</v>
      </c>
      <c r="D37" s="193"/>
      <c r="E37" s="191">
        <v>120000000</v>
      </c>
      <c r="F37" s="191"/>
      <c r="G37" s="196">
        <f>IFERROR(ROUND(E37/C37,1),0)</f>
        <v>0.4</v>
      </c>
      <c r="H37" s="196">
        <f>IFERROR(ROUND(F37/D37,1),0)</f>
        <v>0</v>
      </c>
    </row>
    <row r="38" spans="1:8" ht="30" customHeight="1" x14ac:dyDescent="0.25">
      <c r="A38" s="153">
        <v>17</v>
      </c>
      <c r="B38" s="154" t="s">
        <v>91</v>
      </c>
      <c r="C38" s="189">
        <v>0</v>
      </c>
      <c r="D38" s="190"/>
      <c r="E38" s="192">
        <v>0</v>
      </c>
      <c r="F38" s="192"/>
      <c r="G38" s="153">
        <f t="shared" si="2"/>
        <v>0</v>
      </c>
      <c r="H38" s="153">
        <f t="shared" si="2"/>
        <v>0</v>
      </c>
    </row>
    <row r="39" spans="1:8" ht="18.75" customHeight="1" x14ac:dyDescent="0.25">
      <c r="A39" s="153">
        <v>18</v>
      </c>
      <c r="B39" s="154" t="s">
        <v>92</v>
      </c>
      <c r="C39" s="189">
        <v>0</v>
      </c>
      <c r="D39" s="190"/>
      <c r="E39" s="192">
        <v>0</v>
      </c>
      <c r="F39" s="192"/>
      <c r="G39" s="153">
        <f t="shared" si="2"/>
        <v>0</v>
      </c>
      <c r="H39" s="153">
        <f t="shared" si="2"/>
        <v>0</v>
      </c>
    </row>
    <row r="40" spans="1:8" ht="45.75" customHeight="1" x14ac:dyDescent="0.25">
      <c r="A40" s="153">
        <v>19</v>
      </c>
      <c r="B40" s="154" t="s">
        <v>93</v>
      </c>
      <c r="C40" s="189">
        <v>0</v>
      </c>
      <c r="D40" s="190"/>
      <c r="E40" s="192">
        <v>0</v>
      </c>
      <c r="F40" s="192">
        <v>0</v>
      </c>
      <c r="G40" s="153">
        <f t="shared" si="2"/>
        <v>0</v>
      </c>
      <c r="H40" s="153">
        <f t="shared" si="2"/>
        <v>0</v>
      </c>
    </row>
    <row r="41" spans="1:8" ht="33" customHeight="1" x14ac:dyDescent="0.25">
      <c r="A41" s="153">
        <v>20</v>
      </c>
      <c r="B41" s="154" t="s">
        <v>94</v>
      </c>
      <c r="C41" s="189">
        <v>0</v>
      </c>
      <c r="D41" s="190"/>
      <c r="E41" s="192">
        <v>0</v>
      </c>
      <c r="F41" s="192">
        <v>0</v>
      </c>
      <c r="G41" s="153">
        <f t="shared" si="2"/>
        <v>0</v>
      </c>
      <c r="H41" s="153">
        <f t="shared" si="2"/>
        <v>0</v>
      </c>
    </row>
    <row r="42" spans="1:8" ht="19.5" customHeight="1" x14ac:dyDescent="0.25">
      <c r="A42" s="151" t="s">
        <v>27</v>
      </c>
      <c r="B42" s="152" t="s">
        <v>95</v>
      </c>
      <c r="C42" s="192"/>
      <c r="D42" s="192"/>
      <c r="E42" s="192"/>
      <c r="F42" s="192"/>
      <c r="G42" s="153"/>
      <c r="H42" s="153"/>
    </row>
    <row r="43" spans="1:8" ht="19.5" customHeight="1" x14ac:dyDescent="0.25">
      <c r="A43" s="151" t="s">
        <v>31</v>
      </c>
      <c r="B43" s="152" t="s">
        <v>96</v>
      </c>
      <c r="C43" s="192"/>
      <c r="D43" s="192"/>
      <c r="E43" s="192"/>
      <c r="F43" s="192"/>
      <c r="G43" s="153"/>
      <c r="H43" s="153"/>
    </row>
    <row r="44" spans="1:8" ht="19.5" customHeight="1" x14ac:dyDescent="0.25">
      <c r="A44" s="153">
        <v>1</v>
      </c>
      <c r="B44" s="154" t="s">
        <v>97</v>
      </c>
      <c r="C44" s="192"/>
      <c r="D44" s="192"/>
      <c r="E44" s="192"/>
      <c r="F44" s="192"/>
      <c r="G44" s="153"/>
      <c r="H44" s="153"/>
    </row>
    <row r="45" spans="1:8" ht="19.5" customHeight="1" x14ac:dyDescent="0.25">
      <c r="A45" s="153">
        <v>2</v>
      </c>
      <c r="B45" s="154" t="s">
        <v>98</v>
      </c>
      <c r="C45" s="192"/>
      <c r="D45" s="192"/>
      <c r="E45" s="192"/>
      <c r="F45" s="192"/>
      <c r="G45" s="153"/>
      <c r="H45" s="153"/>
    </row>
    <row r="46" spans="1:8" ht="19.5" customHeight="1" x14ac:dyDescent="0.25">
      <c r="A46" s="153">
        <v>3</v>
      </c>
      <c r="B46" s="154" t="s">
        <v>99</v>
      </c>
      <c r="C46" s="192"/>
      <c r="D46" s="192"/>
      <c r="E46" s="192"/>
      <c r="F46" s="192"/>
      <c r="G46" s="153"/>
      <c r="H46" s="153"/>
    </row>
    <row r="47" spans="1:8" ht="19.5" customHeight="1" x14ac:dyDescent="0.25">
      <c r="A47" s="153">
        <v>4</v>
      </c>
      <c r="B47" s="154" t="s">
        <v>100</v>
      </c>
      <c r="C47" s="192"/>
      <c r="D47" s="192"/>
      <c r="E47" s="192"/>
      <c r="F47" s="192"/>
      <c r="G47" s="153"/>
      <c r="H47" s="153"/>
    </row>
    <row r="48" spans="1:8" ht="19.5" customHeight="1" x14ac:dyDescent="0.25">
      <c r="A48" s="153">
        <v>5</v>
      </c>
      <c r="B48" s="154" t="s">
        <v>76</v>
      </c>
      <c r="C48" s="192"/>
      <c r="D48" s="192"/>
      <c r="E48" s="192"/>
      <c r="F48" s="192"/>
      <c r="G48" s="153"/>
      <c r="H48" s="153"/>
    </row>
    <row r="49" spans="1:8" ht="19.5" customHeight="1" x14ac:dyDescent="0.25">
      <c r="A49" s="153">
        <v>6</v>
      </c>
      <c r="B49" s="154" t="s">
        <v>101</v>
      </c>
      <c r="C49" s="192"/>
      <c r="D49" s="192"/>
      <c r="E49" s="192"/>
      <c r="F49" s="192"/>
      <c r="G49" s="153"/>
      <c r="H49" s="153"/>
    </row>
    <row r="50" spans="1:8" ht="19.5" customHeight="1" x14ac:dyDescent="0.25">
      <c r="A50" s="151" t="s">
        <v>33</v>
      </c>
      <c r="B50" s="152" t="s">
        <v>102</v>
      </c>
      <c r="C50" s="192"/>
      <c r="D50" s="192"/>
      <c r="E50" s="194">
        <v>60000000</v>
      </c>
      <c r="F50" s="194">
        <f>E50</f>
        <v>60000000</v>
      </c>
      <c r="G50" s="153"/>
      <c r="H50" s="153"/>
    </row>
    <row r="51" spans="1:8" x14ac:dyDescent="0.25">
      <c r="A51" s="155"/>
    </row>
  </sheetData>
  <mergeCells count="45">
    <mergeCell ref="E1:H1"/>
    <mergeCell ref="A3:H3"/>
    <mergeCell ref="A4:H4"/>
    <mergeCell ref="A5:H5"/>
    <mergeCell ref="A2:H2"/>
    <mergeCell ref="A6:A7"/>
    <mergeCell ref="B6:B7"/>
    <mergeCell ref="C6:D6"/>
    <mergeCell ref="E6:F6"/>
    <mergeCell ref="G6:H6"/>
    <mergeCell ref="G11:G12"/>
    <mergeCell ref="H11:H12"/>
    <mergeCell ref="A13:A14"/>
    <mergeCell ref="C13:C14"/>
    <mergeCell ref="D13:D14"/>
    <mergeCell ref="E13:E14"/>
    <mergeCell ref="F13:F14"/>
    <mergeCell ref="G13:G14"/>
    <mergeCell ref="H13:H14"/>
    <mergeCell ref="A11:A12"/>
    <mergeCell ref="C11:C12"/>
    <mergeCell ref="D11:D12"/>
    <mergeCell ref="E11:E12"/>
    <mergeCell ref="F11:F12"/>
    <mergeCell ref="H15:H16"/>
    <mergeCell ref="A17:A18"/>
    <mergeCell ref="C17:C18"/>
    <mergeCell ref="D17:D18"/>
    <mergeCell ref="E17:E18"/>
    <mergeCell ref="F17:F18"/>
    <mergeCell ref="G17:G18"/>
    <mergeCell ref="H17:H18"/>
    <mergeCell ref="A15:A16"/>
    <mergeCell ref="C15:C16"/>
    <mergeCell ref="D15:D16"/>
    <mergeCell ref="E15:E16"/>
    <mergeCell ref="F15:F16"/>
    <mergeCell ref="G15:G16"/>
    <mergeCell ref="H34:H35"/>
    <mergeCell ref="A34:A35"/>
    <mergeCell ref="C34:C35"/>
    <mergeCell ref="D34:D35"/>
    <mergeCell ref="E34:E35"/>
    <mergeCell ref="F34:F35"/>
    <mergeCell ref="G34:G35"/>
  </mergeCells>
  <pageMargins left="0.5" right="0.28999999999999998" top="0.59" bottom="0.57999999999999996" header="0.3" footer="0.3"/>
  <pageSetup paperSize="9" scale="97" firstPageNumber="12" orientation="portrait" useFirstPageNumber="1" verticalDpi="0" r:id="rId1"/>
  <headerFooter>
    <oddFooter>&amp;C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67"/>
  <sheetViews>
    <sheetView view="pageBreakPreview" zoomScale="130" zoomScaleNormal="145" zoomScaleSheetLayoutView="130" workbookViewId="0">
      <selection activeCell="A2" sqref="A2:G2"/>
    </sheetView>
  </sheetViews>
  <sheetFormatPr defaultColWidth="9" defaultRowHeight="15" x14ac:dyDescent="0.25"/>
  <cols>
    <col min="1" max="1" width="6.140625" style="52" customWidth="1"/>
    <col min="2" max="2" width="32.28515625" style="52" customWidth="1"/>
    <col min="3" max="3" width="13.140625" style="52" customWidth="1"/>
    <col min="4" max="4" width="12.5703125" style="52" hidden="1" customWidth="1"/>
    <col min="5" max="5" width="13.140625" style="52" customWidth="1"/>
    <col min="6" max="6" width="12.140625" style="52" customWidth="1"/>
    <col min="7" max="7" width="7" style="52" customWidth="1"/>
    <col min="8" max="8" width="13" style="52" customWidth="1"/>
    <col min="9" max="16384" width="9" style="52"/>
  </cols>
  <sheetData>
    <row r="1" spans="1:8" ht="45.75" customHeight="1" x14ac:dyDescent="0.25">
      <c r="B1" s="175"/>
      <c r="C1" s="175"/>
      <c r="D1" s="175"/>
      <c r="E1" s="837" t="s">
        <v>410</v>
      </c>
      <c r="F1" s="837"/>
      <c r="G1" s="837"/>
    </row>
    <row r="2" spans="1:8" ht="18.75" customHeight="1" x14ac:dyDescent="0.25">
      <c r="A2" s="834" t="s">
        <v>236</v>
      </c>
      <c r="B2" s="834"/>
      <c r="C2" s="834"/>
      <c r="D2" s="834"/>
      <c r="E2" s="834"/>
      <c r="F2" s="834"/>
      <c r="G2" s="834"/>
    </row>
    <row r="3" spans="1:8" ht="18.75" customHeight="1" x14ac:dyDescent="0.25">
      <c r="A3" s="834" t="s">
        <v>375</v>
      </c>
      <c r="B3" s="834"/>
      <c r="C3" s="834"/>
      <c r="D3" s="834"/>
      <c r="E3" s="834"/>
      <c r="F3" s="834"/>
      <c r="G3" s="834"/>
    </row>
    <row r="4" spans="1:8" ht="18.75" customHeight="1" x14ac:dyDescent="0.25">
      <c r="A4" s="835" t="str">
        <f>'13'!A4:H4</f>
        <v>(Kèm theo Báo cáo số:   449  /BC-UBND ngày   30 /11/2025 của UBND xã Cao Minh)</v>
      </c>
      <c r="B4" s="835"/>
      <c r="C4" s="835"/>
      <c r="D4" s="835"/>
      <c r="E4" s="835"/>
      <c r="F4" s="835"/>
      <c r="G4" s="835"/>
    </row>
    <row r="5" spans="1:8" ht="18.75" customHeight="1" x14ac:dyDescent="0.25">
      <c r="A5" s="836" t="s">
        <v>228</v>
      </c>
      <c r="B5" s="836"/>
      <c r="C5" s="836"/>
      <c r="D5" s="836"/>
      <c r="E5" s="836"/>
      <c r="F5" s="836"/>
      <c r="G5" s="836"/>
    </row>
    <row r="6" spans="1:8" ht="21" customHeight="1" x14ac:dyDescent="0.25">
      <c r="A6" s="833" t="s">
        <v>0</v>
      </c>
      <c r="B6" s="833" t="s">
        <v>16</v>
      </c>
      <c r="C6" s="833" t="s">
        <v>372</v>
      </c>
      <c r="D6" s="151"/>
      <c r="E6" s="833" t="s">
        <v>373</v>
      </c>
      <c r="F6" s="833" t="s">
        <v>17</v>
      </c>
      <c r="G6" s="833"/>
    </row>
    <row r="7" spans="1:8" ht="31.5" customHeight="1" x14ac:dyDescent="0.25">
      <c r="A7" s="833"/>
      <c r="B7" s="833"/>
      <c r="C7" s="833"/>
      <c r="D7" s="151" t="s">
        <v>898</v>
      </c>
      <c r="E7" s="833"/>
      <c r="F7" s="151" t="s">
        <v>18</v>
      </c>
      <c r="G7" s="151" t="s">
        <v>19</v>
      </c>
    </row>
    <row r="8" spans="1:8" x14ac:dyDescent="0.25">
      <c r="A8" s="151" t="s">
        <v>6</v>
      </c>
      <c r="B8" s="151" t="s">
        <v>7</v>
      </c>
      <c r="C8" s="151">
        <v>1</v>
      </c>
      <c r="D8" s="151"/>
      <c r="E8" s="151">
        <v>2</v>
      </c>
      <c r="F8" s="151" t="s">
        <v>20</v>
      </c>
      <c r="G8" s="151" t="s">
        <v>21</v>
      </c>
    </row>
    <row r="9" spans="1:8" x14ac:dyDescent="0.25">
      <c r="A9" s="151"/>
      <c r="B9" s="152" t="s">
        <v>37</v>
      </c>
      <c r="C9" s="277">
        <f>C10+C29+C64</f>
        <v>228566540870</v>
      </c>
      <c r="D9" s="277"/>
      <c r="E9" s="277">
        <f t="shared" ref="E9:F9" si="0">E10+E29+E64</f>
        <v>224042054159</v>
      </c>
      <c r="F9" s="277">
        <f t="shared" si="0"/>
        <v>-4524486711</v>
      </c>
      <c r="G9" s="195">
        <f>E9/C9</f>
        <v>0.98020494734803132</v>
      </c>
      <c r="H9" s="279"/>
    </row>
    <row r="10" spans="1:8" x14ac:dyDescent="0.25">
      <c r="A10" s="151" t="s">
        <v>6</v>
      </c>
      <c r="B10" s="152" t="s">
        <v>103</v>
      </c>
      <c r="C10" s="277">
        <f>C21+C25+C26+C27+C28</f>
        <v>135875000000</v>
      </c>
      <c r="D10" s="277"/>
      <c r="E10" s="277">
        <f t="shared" ref="E10:F10" si="1">E21+E25+E26+E27+E28</f>
        <v>133875000000</v>
      </c>
      <c r="F10" s="277">
        <f t="shared" si="1"/>
        <v>-2000000000</v>
      </c>
      <c r="G10" s="195">
        <f>E10/C10</f>
        <v>0.98528058877644897</v>
      </c>
    </row>
    <row r="11" spans="1:8" x14ac:dyDescent="0.25">
      <c r="A11" s="151" t="s">
        <v>23</v>
      </c>
      <c r="B11" s="152" t="s">
        <v>39</v>
      </c>
      <c r="C11" s="277"/>
      <c r="D11" s="277"/>
      <c r="E11" s="277"/>
      <c r="F11" s="277"/>
      <c r="G11" s="152"/>
    </row>
    <row r="12" spans="1:8" x14ac:dyDescent="0.25">
      <c r="A12" s="153">
        <v>1</v>
      </c>
      <c r="B12" s="154" t="s">
        <v>104</v>
      </c>
      <c r="C12" s="275"/>
      <c r="D12" s="275"/>
      <c r="E12" s="275"/>
      <c r="F12" s="275"/>
      <c r="G12" s="154"/>
    </row>
    <row r="13" spans="1:8" x14ac:dyDescent="0.25">
      <c r="A13" s="153"/>
      <c r="B13" s="156" t="s">
        <v>105</v>
      </c>
      <c r="C13" s="275"/>
      <c r="D13" s="275"/>
      <c r="E13" s="275"/>
      <c r="F13" s="275"/>
      <c r="G13" s="154"/>
    </row>
    <row r="14" spans="1:8" x14ac:dyDescent="0.25">
      <c r="A14" s="153" t="s">
        <v>74</v>
      </c>
      <c r="B14" s="156" t="s">
        <v>106</v>
      </c>
      <c r="C14" s="276"/>
      <c r="D14" s="276"/>
      <c r="E14" s="276"/>
      <c r="F14" s="275"/>
      <c r="G14" s="154"/>
    </row>
    <row r="15" spans="1:8" x14ac:dyDescent="0.25">
      <c r="A15" s="153" t="s">
        <v>74</v>
      </c>
      <c r="B15" s="156" t="s">
        <v>107</v>
      </c>
      <c r="C15" s="275"/>
      <c r="D15" s="275"/>
      <c r="E15" s="275"/>
      <c r="F15" s="275"/>
      <c r="G15" s="154"/>
    </row>
    <row r="16" spans="1:8" x14ac:dyDescent="0.25">
      <c r="A16" s="153"/>
      <c r="B16" s="156" t="s">
        <v>108</v>
      </c>
      <c r="C16" s="275"/>
      <c r="D16" s="275"/>
      <c r="E16" s="275"/>
      <c r="F16" s="275"/>
      <c r="G16" s="154"/>
    </row>
    <row r="17" spans="1:7" ht="25.5" x14ac:dyDescent="0.25">
      <c r="A17" s="153" t="s">
        <v>74</v>
      </c>
      <c r="B17" s="156" t="s">
        <v>109</v>
      </c>
      <c r="C17" s="275"/>
      <c r="D17" s="275"/>
      <c r="E17" s="275"/>
      <c r="F17" s="275"/>
      <c r="G17" s="154"/>
    </row>
    <row r="18" spans="1:7" x14ac:dyDescent="0.25">
      <c r="A18" s="153" t="s">
        <v>74</v>
      </c>
      <c r="B18" s="156" t="s">
        <v>110</v>
      </c>
      <c r="C18" s="275"/>
      <c r="D18" s="275"/>
      <c r="E18" s="275"/>
      <c r="F18" s="275"/>
      <c r="G18" s="154"/>
    </row>
    <row r="19" spans="1:7" ht="63.75" x14ac:dyDescent="0.25">
      <c r="A19" s="153">
        <v>2</v>
      </c>
      <c r="B19" s="154" t="s">
        <v>111</v>
      </c>
      <c r="C19" s="275"/>
      <c r="D19" s="275"/>
      <c r="E19" s="275"/>
      <c r="F19" s="275"/>
      <c r="G19" s="154"/>
    </row>
    <row r="20" spans="1:7" x14ac:dyDescent="0.25">
      <c r="A20" s="153">
        <v>3</v>
      </c>
      <c r="B20" s="154" t="s">
        <v>112</v>
      </c>
      <c r="C20" s="275"/>
      <c r="D20" s="275"/>
      <c r="E20" s="275"/>
      <c r="F20" s="275"/>
      <c r="G20" s="154"/>
    </row>
    <row r="21" spans="1:7" x14ac:dyDescent="0.25">
      <c r="A21" s="151" t="s">
        <v>27</v>
      </c>
      <c r="B21" s="152" t="s">
        <v>40</v>
      </c>
      <c r="C21" s="277">
        <f>'12'!C22</f>
        <v>132984000000</v>
      </c>
      <c r="D21" s="277"/>
      <c r="E21" s="277">
        <f>'12'!D22</f>
        <v>130984000000</v>
      </c>
      <c r="F21" s="277">
        <f>E21-C21</f>
        <v>-2000000000</v>
      </c>
      <c r="G21" s="195">
        <f>E21/C21</f>
        <v>0.98496059676352044</v>
      </c>
    </row>
    <row r="22" spans="1:7" x14ac:dyDescent="0.25">
      <c r="A22" s="153"/>
      <c r="B22" s="156" t="s">
        <v>113</v>
      </c>
      <c r="C22" s="275"/>
      <c r="D22" s="275"/>
      <c r="E22" s="275"/>
      <c r="F22" s="275"/>
      <c r="G22" s="154"/>
    </row>
    <row r="23" spans="1:7" x14ac:dyDescent="0.25">
      <c r="A23" s="153">
        <v>1</v>
      </c>
      <c r="B23" s="156" t="s">
        <v>106</v>
      </c>
      <c r="C23" s="276">
        <v>92131000000</v>
      </c>
      <c r="D23" s="276"/>
      <c r="E23" s="276">
        <f>C23</f>
        <v>92131000000</v>
      </c>
      <c r="F23" s="275"/>
      <c r="G23" s="154"/>
    </row>
    <row r="24" spans="1:7" x14ac:dyDescent="0.25">
      <c r="A24" s="153">
        <v>2</v>
      </c>
      <c r="B24" s="156" t="s">
        <v>114</v>
      </c>
      <c r="C24" s="275"/>
      <c r="D24" s="275"/>
      <c r="E24" s="275"/>
      <c r="F24" s="275"/>
      <c r="G24" s="154"/>
    </row>
    <row r="25" spans="1:7" ht="27.75" customHeight="1" x14ac:dyDescent="0.25">
      <c r="A25" s="151" t="s">
        <v>31</v>
      </c>
      <c r="B25" s="152" t="s">
        <v>41</v>
      </c>
      <c r="C25" s="277"/>
      <c r="D25" s="277"/>
      <c r="E25" s="277"/>
      <c r="F25" s="277"/>
      <c r="G25" s="152"/>
    </row>
    <row r="26" spans="1:7" ht="17.25" customHeight="1" x14ac:dyDescent="0.25">
      <c r="A26" s="151" t="s">
        <v>33</v>
      </c>
      <c r="B26" s="152" t="s">
        <v>42</v>
      </c>
      <c r="C26" s="277"/>
      <c r="D26" s="277"/>
      <c r="E26" s="277"/>
      <c r="F26" s="277"/>
      <c r="G26" s="152"/>
    </row>
    <row r="27" spans="1:7" ht="17.25" customHeight="1" x14ac:dyDescent="0.25">
      <c r="A27" s="151" t="s">
        <v>35</v>
      </c>
      <c r="B27" s="152" t="s">
        <v>43</v>
      </c>
      <c r="C27" s="277">
        <f>'12'!C25</f>
        <v>2891000000</v>
      </c>
      <c r="D27" s="277"/>
      <c r="E27" s="277">
        <f>C27</f>
        <v>2891000000</v>
      </c>
      <c r="F27" s="277">
        <f>E27-C27</f>
        <v>0</v>
      </c>
      <c r="G27" s="195">
        <f>E27/C27</f>
        <v>1</v>
      </c>
    </row>
    <row r="28" spans="1:7" ht="17.25" customHeight="1" x14ac:dyDescent="0.25">
      <c r="A28" s="151" t="s">
        <v>115</v>
      </c>
      <c r="B28" s="152" t="s">
        <v>44</v>
      </c>
      <c r="C28" s="277"/>
      <c r="D28" s="277"/>
      <c r="E28" s="277"/>
      <c r="F28" s="277"/>
      <c r="G28" s="152"/>
    </row>
    <row r="29" spans="1:7" x14ac:dyDescent="0.25">
      <c r="A29" s="151" t="s">
        <v>7</v>
      </c>
      <c r="B29" s="152" t="s">
        <v>116</v>
      </c>
      <c r="C29" s="277">
        <f>C30+C40</f>
        <v>92691540870</v>
      </c>
      <c r="D29" s="277"/>
      <c r="E29" s="277">
        <f t="shared" ref="E29:F29" si="2">E30+E40</f>
        <v>83844271434</v>
      </c>
      <c r="F29" s="277">
        <f t="shared" si="2"/>
        <v>-8847269436</v>
      </c>
      <c r="G29" s="195">
        <f>E29/C29</f>
        <v>0.90455149031983073</v>
      </c>
    </row>
    <row r="30" spans="1:7" ht="21.75" customHeight="1" x14ac:dyDescent="0.25">
      <c r="A30" s="151" t="s">
        <v>23</v>
      </c>
      <c r="B30" s="152" t="s">
        <v>46</v>
      </c>
      <c r="C30" s="277">
        <f>C31+C34+C37</f>
        <v>61984085960</v>
      </c>
      <c r="D30" s="277">
        <f>D31+D34+D37</f>
        <v>42710526036</v>
      </c>
      <c r="E30" s="277">
        <f t="shared" ref="E30:F30" si="3">E31+E34+E37</f>
        <v>57298908190</v>
      </c>
      <c r="F30" s="277">
        <f t="shared" si="3"/>
        <v>-4685177770</v>
      </c>
      <c r="G30" s="195">
        <f>E30/C30</f>
        <v>0.92441321514326324</v>
      </c>
    </row>
    <row r="31" spans="1:7" s="278" customFormat="1" ht="29.25" customHeight="1" x14ac:dyDescent="0.25">
      <c r="A31" s="151">
        <v>1</v>
      </c>
      <c r="B31" s="152" t="s">
        <v>238</v>
      </c>
      <c r="C31" s="277">
        <f>C32+C33</f>
        <v>1684223544</v>
      </c>
      <c r="D31" s="277">
        <f>D32+D33</f>
        <v>908467909</v>
      </c>
      <c r="E31" s="277">
        <f t="shared" ref="E31" si="4">E32+E33</f>
        <v>1371067909</v>
      </c>
      <c r="F31" s="277">
        <f>E31-C31</f>
        <v>-313155635</v>
      </c>
      <c r="G31" s="195">
        <f>E31/C31</f>
        <v>0.81406527885469337</v>
      </c>
    </row>
    <row r="32" spans="1:7" ht="18" customHeight="1" x14ac:dyDescent="0.25">
      <c r="A32" s="153"/>
      <c r="B32" s="154" t="s">
        <v>476</v>
      </c>
      <c r="C32" s="275">
        <f>'BC VĐT 2025'!E43</f>
        <v>786907944</v>
      </c>
      <c r="D32" s="275">
        <f>'BC VĐT 2025'!N43</f>
        <v>723710149</v>
      </c>
      <c r="E32" s="275">
        <f>'BC VĐT 2025'!AF43</f>
        <v>723710149</v>
      </c>
      <c r="F32" s="275">
        <f t="shared" ref="F32:F33" si="5">E32-C32</f>
        <v>-63197795</v>
      </c>
      <c r="G32" s="154"/>
    </row>
    <row r="33" spans="1:7" ht="18" customHeight="1" x14ac:dyDescent="0.25">
      <c r="A33" s="153"/>
      <c r="B33" s="154" t="s">
        <v>477</v>
      </c>
      <c r="C33" s="275">
        <f>'BC VSN 2025'!C51</f>
        <v>897315600</v>
      </c>
      <c r="D33" s="275">
        <f>'BC VSN 2025'!L51</f>
        <v>184757760</v>
      </c>
      <c r="E33" s="275">
        <f>'BC VSN 2025'!U51</f>
        <v>647357760</v>
      </c>
      <c r="F33" s="275">
        <f t="shared" si="5"/>
        <v>-249957840</v>
      </c>
      <c r="G33" s="154"/>
    </row>
    <row r="34" spans="1:7" s="278" customFormat="1" ht="22.5" customHeight="1" x14ac:dyDescent="0.25">
      <c r="A34" s="151">
        <v>2</v>
      </c>
      <c r="B34" s="152" t="s">
        <v>239</v>
      </c>
      <c r="C34" s="277">
        <f>C35+C36</f>
        <v>30209405102</v>
      </c>
      <c r="D34" s="277">
        <f>D35+D36</f>
        <v>20510028825</v>
      </c>
      <c r="E34" s="277">
        <f t="shared" ref="E34" si="6">E35+E36</f>
        <v>26983221800</v>
      </c>
      <c r="F34" s="277">
        <f>E34-C34</f>
        <v>-3226183302</v>
      </c>
      <c r="G34" s="195">
        <f>E34/C34</f>
        <v>0.89320599690371216</v>
      </c>
    </row>
    <row r="35" spans="1:7" ht="19.5" customHeight="1" x14ac:dyDescent="0.25">
      <c r="A35" s="153"/>
      <c r="B35" s="154" t="s">
        <v>476</v>
      </c>
      <c r="C35" s="275">
        <f>'BC VĐT 2025'!E12</f>
        <v>26747827534</v>
      </c>
      <c r="D35" s="275">
        <f>'BC VĐT 2025'!N12</f>
        <v>17971807923</v>
      </c>
      <c r="E35" s="275">
        <f>'BC VĐT 2025'!AF12</f>
        <v>23953859300</v>
      </c>
      <c r="F35" s="275">
        <f>E35-C35</f>
        <v>-2793968234</v>
      </c>
      <c r="G35" s="154"/>
    </row>
    <row r="36" spans="1:7" ht="19.5" customHeight="1" x14ac:dyDescent="0.25">
      <c r="A36" s="153"/>
      <c r="B36" s="154" t="s">
        <v>477</v>
      </c>
      <c r="C36" s="275">
        <f>'BC VSN 2025'!C10</f>
        <v>3461577568</v>
      </c>
      <c r="D36" s="275">
        <f>'BC VSN 2025'!L10</f>
        <v>2538220902</v>
      </c>
      <c r="E36" s="275">
        <f>'BC VSN 2025'!U10</f>
        <v>3029362500</v>
      </c>
      <c r="F36" s="275">
        <f>E36-C36</f>
        <v>-432215068</v>
      </c>
      <c r="G36" s="154"/>
    </row>
    <row r="37" spans="1:7" s="278" customFormat="1" ht="30" customHeight="1" x14ac:dyDescent="0.25">
      <c r="A37" s="151">
        <v>3</v>
      </c>
      <c r="B37" s="152" t="s">
        <v>478</v>
      </c>
      <c r="C37" s="277">
        <f>C38+C39</f>
        <v>30090457314</v>
      </c>
      <c r="D37" s="277">
        <f>D38+D39</f>
        <v>21292029302</v>
      </c>
      <c r="E37" s="277">
        <f t="shared" ref="E37" si="7">E38+E39</f>
        <v>28944618481</v>
      </c>
      <c r="F37" s="277">
        <f>E37-C37</f>
        <v>-1145838833</v>
      </c>
      <c r="G37" s="195">
        <f>E37/C37</f>
        <v>0.9619201921378947</v>
      </c>
    </row>
    <row r="38" spans="1:7" ht="18.75" customHeight="1" x14ac:dyDescent="0.25">
      <c r="A38" s="153"/>
      <c r="B38" s="154" t="s">
        <v>476</v>
      </c>
      <c r="C38" s="275">
        <f>'BC VĐT 2025'!E20</f>
        <v>19080004122</v>
      </c>
      <c r="D38" s="275">
        <f>'BC VĐT 2025'!N20</f>
        <v>14533544046</v>
      </c>
      <c r="E38" s="275">
        <f>'BC VĐT 2025'!AF20</f>
        <v>17979314899</v>
      </c>
      <c r="F38" s="275">
        <f t="shared" ref="F38:F39" si="8">E38-C38</f>
        <v>-1100689223</v>
      </c>
      <c r="G38" s="154"/>
    </row>
    <row r="39" spans="1:7" ht="18.75" customHeight="1" x14ac:dyDescent="0.25">
      <c r="A39" s="153"/>
      <c r="B39" s="154" t="s">
        <v>477</v>
      </c>
      <c r="C39" s="275">
        <f>'BC VSN 2025'!C34</f>
        <v>11010453192</v>
      </c>
      <c r="D39" s="275">
        <f>'BC VSN 2025'!L34</f>
        <v>6758485256</v>
      </c>
      <c r="E39" s="275">
        <f>'BC VSN 2025'!U34</f>
        <v>10965303582</v>
      </c>
      <c r="F39" s="275">
        <f t="shared" si="8"/>
        <v>-45149610</v>
      </c>
      <c r="G39" s="154"/>
    </row>
    <row r="40" spans="1:7" s="278" customFormat="1" ht="18.75" customHeight="1" x14ac:dyDescent="0.25">
      <c r="A40" s="151" t="s">
        <v>27</v>
      </c>
      <c r="B40" s="152" t="s">
        <v>117</v>
      </c>
      <c r="C40" s="277">
        <f>C41+C43</f>
        <v>30707454910</v>
      </c>
      <c r="D40" s="277"/>
      <c r="E40" s="277">
        <f t="shared" ref="E40:F40" si="9">E41+E43</f>
        <v>26545363244</v>
      </c>
      <c r="F40" s="277">
        <f t="shared" si="9"/>
        <v>-4162091666</v>
      </c>
      <c r="G40" s="195">
        <f>E40/C40</f>
        <v>0.86445989489527508</v>
      </c>
    </row>
    <row r="41" spans="1:7" s="278" customFormat="1" ht="19.5" customHeight="1" x14ac:dyDescent="0.25">
      <c r="A41" s="151" t="s">
        <v>494</v>
      </c>
      <c r="B41" s="152" t="s">
        <v>476</v>
      </c>
      <c r="C41" s="277">
        <f>C42</f>
        <v>7852719695</v>
      </c>
      <c r="D41" s="277"/>
      <c r="E41" s="277">
        <f t="shared" ref="E41" si="10">E42</f>
        <v>4917128730</v>
      </c>
      <c r="F41" s="277">
        <f>E41-C41</f>
        <v>-2935590965</v>
      </c>
      <c r="G41" s="195">
        <f>E41/C41</f>
        <v>0.62616888428232631</v>
      </c>
    </row>
    <row r="42" spans="1:7" ht="48.75" customHeight="1" x14ac:dyDescent="0.25">
      <c r="A42" s="153">
        <v>1</v>
      </c>
      <c r="B42" s="154" t="s">
        <v>496</v>
      </c>
      <c r="C42" s="275">
        <f>'BC VĐT 2025'!E51</f>
        <v>7852719695</v>
      </c>
      <c r="D42" s="275">
        <f>'BC VĐT 2025'!N51</f>
        <v>4057000718</v>
      </c>
      <c r="E42" s="275">
        <f>'BC VĐT 2025'!AF51</f>
        <v>4917128730</v>
      </c>
      <c r="F42" s="275"/>
      <c r="G42" s="154"/>
    </row>
    <row r="43" spans="1:7" s="278" customFormat="1" ht="19.5" customHeight="1" x14ac:dyDescent="0.25">
      <c r="A43" s="151" t="s">
        <v>495</v>
      </c>
      <c r="B43" s="152" t="s">
        <v>477</v>
      </c>
      <c r="C43" s="277">
        <f>SUM(C44:C59)+C63</f>
        <v>22854735215</v>
      </c>
      <c r="D43" s="277">
        <f>SUM(D44:D59)+D63</f>
        <v>19746571215</v>
      </c>
      <c r="E43" s="277">
        <f>SUM(E44:E59)+E63</f>
        <v>21628234514</v>
      </c>
      <c r="F43" s="277">
        <f>E43-C43</f>
        <v>-1226500701</v>
      </c>
      <c r="G43" s="195">
        <f>E43/C43</f>
        <v>0.94633494155753661</v>
      </c>
    </row>
    <row r="44" spans="1:7" x14ac:dyDescent="0.25">
      <c r="A44" s="153">
        <v>1</v>
      </c>
      <c r="B44" s="154" t="s">
        <v>479</v>
      </c>
      <c r="C44" s="275">
        <v>37000000</v>
      </c>
      <c r="D44" s="275"/>
      <c r="E44" s="275">
        <f>C44</f>
        <v>37000000</v>
      </c>
      <c r="F44" s="275"/>
      <c r="G44" s="154"/>
    </row>
    <row r="45" spans="1:7" ht="25.5" x14ac:dyDescent="0.25">
      <c r="A45" s="153">
        <v>2</v>
      </c>
      <c r="B45" s="154" t="s">
        <v>480</v>
      </c>
      <c r="C45" s="275">
        <v>150000000</v>
      </c>
      <c r="D45" s="275"/>
      <c r="E45" s="275">
        <f>C45</f>
        <v>150000000</v>
      </c>
      <c r="F45" s="275"/>
      <c r="G45" s="154"/>
    </row>
    <row r="46" spans="1:7" ht="51" x14ac:dyDescent="0.25">
      <c r="A46" s="153">
        <v>3</v>
      </c>
      <c r="B46" s="154" t="s">
        <v>481</v>
      </c>
      <c r="C46" s="275">
        <v>2934000000</v>
      </c>
      <c r="D46" s="275">
        <f>C46</f>
        <v>2934000000</v>
      </c>
      <c r="E46" s="275">
        <f t="shared" ref="E46:E61" si="11">C46</f>
        <v>2934000000</v>
      </c>
      <c r="F46" s="275"/>
      <c r="G46" s="154"/>
    </row>
    <row r="47" spans="1:7" ht="76.5" x14ac:dyDescent="0.25">
      <c r="A47" s="153">
        <v>4</v>
      </c>
      <c r="B47" s="154" t="s">
        <v>482</v>
      </c>
      <c r="C47" s="275">
        <v>1000000000</v>
      </c>
      <c r="D47" s="275"/>
      <c r="E47" s="275">
        <f t="shared" si="11"/>
        <v>1000000000</v>
      </c>
      <c r="F47" s="275"/>
      <c r="G47" s="154"/>
    </row>
    <row r="48" spans="1:7" ht="63.75" x14ac:dyDescent="0.25">
      <c r="A48" s="153">
        <v>5</v>
      </c>
      <c r="B48" s="154" t="s">
        <v>483</v>
      </c>
      <c r="C48" s="275">
        <v>93600000</v>
      </c>
      <c r="D48" s="275">
        <f t="shared" ref="D48:D53" si="12">C48</f>
        <v>93600000</v>
      </c>
      <c r="E48" s="275">
        <f t="shared" si="11"/>
        <v>93600000</v>
      </c>
      <c r="F48" s="275"/>
      <c r="G48" s="154"/>
    </row>
    <row r="49" spans="1:8" ht="89.25" x14ac:dyDescent="0.25">
      <c r="A49" s="153">
        <v>6</v>
      </c>
      <c r="B49" s="154" t="s">
        <v>484</v>
      </c>
      <c r="C49" s="275">
        <v>5541476000</v>
      </c>
      <c r="D49" s="275">
        <f t="shared" si="12"/>
        <v>5541476000</v>
      </c>
      <c r="E49" s="275">
        <f t="shared" si="11"/>
        <v>5541476000</v>
      </c>
      <c r="F49" s="275"/>
      <c r="G49" s="154"/>
    </row>
    <row r="50" spans="1:8" ht="63.75" x14ac:dyDescent="0.25">
      <c r="A50" s="153">
        <v>7</v>
      </c>
      <c r="B50" s="154" t="s">
        <v>485</v>
      </c>
      <c r="C50" s="275">
        <v>1271900000</v>
      </c>
      <c r="D50" s="275">
        <f t="shared" si="12"/>
        <v>1271900000</v>
      </c>
      <c r="E50" s="275">
        <f t="shared" si="11"/>
        <v>1271900000</v>
      </c>
      <c r="F50" s="275"/>
      <c r="G50" s="154"/>
    </row>
    <row r="51" spans="1:8" ht="89.25" x14ac:dyDescent="0.25">
      <c r="A51" s="153">
        <v>8</v>
      </c>
      <c r="B51" s="154" t="s">
        <v>486</v>
      </c>
      <c r="C51" s="275">
        <v>899569125</v>
      </c>
      <c r="D51" s="275">
        <f t="shared" si="12"/>
        <v>899569125</v>
      </c>
      <c r="E51" s="275">
        <f t="shared" si="11"/>
        <v>899569125</v>
      </c>
      <c r="F51" s="275"/>
      <c r="G51" s="154"/>
    </row>
    <row r="52" spans="1:8" ht="89.25" x14ac:dyDescent="0.25">
      <c r="A52" s="153">
        <v>9</v>
      </c>
      <c r="B52" s="154" t="s">
        <v>487</v>
      </c>
      <c r="C52" s="275">
        <v>4681484438</v>
      </c>
      <c r="D52" s="275">
        <f t="shared" si="12"/>
        <v>4681484438</v>
      </c>
      <c r="E52" s="275">
        <f t="shared" si="11"/>
        <v>4681484438</v>
      </c>
      <c r="F52" s="275"/>
      <c r="G52" s="154"/>
    </row>
    <row r="53" spans="1:8" ht="114.75" x14ac:dyDescent="0.25">
      <c r="A53" s="153">
        <v>10</v>
      </c>
      <c r="B53" s="154" t="s">
        <v>488</v>
      </c>
      <c r="C53" s="275">
        <v>562214875</v>
      </c>
      <c r="D53" s="275">
        <f t="shared" si="12"/>
        <v>562214875</v>
      </c>
      <c r="E53" s="275">
        <f t="shared" si="11"/>
        <v>562214875</v>
      </c>
      <c r="F53" s="275"/>
      <c r="G53" s="154"/>
    </row>
    <row r="54" spans="1:8" ht="89.25" x14ac:dyDescent="0.25">
      <c r="A54" s="153">
        <v>11</v>
      </c>
      <c r="B54" s="154" t="s">
        <v>489</v>
      </c>
      <c r="C54" s="275">
        <v>407164000</v>
      </c>
      <c r="D54" s="275"/>
      <c r="E54" s="275">
        <f t="shared" si="11"/>
        <v>407164000</v>
      </c>
      <c r="F54" s="275"/>
      <c r="G54" s="154"/>
    </row>
    <row r="55" spans="1:8" ht="51" x14ac:dyDescent="0.25">
      <c r="A55" s="153">
        <v>12</v>
      </c>
      <c r="B55" s="154" t="s">
        <v>490</v>
      </c>
      <c r="C55" s="275">
        <v>10000000</v>
      </c>
      <c r="D55" s="275">
        <f>C55</f>
        <v>10000000</v>
      </c>
      <c r="E55" s="275">
        <f t="shared" si="11"/>
        <v>10000000</v>
      </c>
      <c r="F55" s="275"/>
      <c r="G55" s="154"/>
    </row>
    <row r="56" spans="1:8" ht="76.5" x14ac:dyDescent="0.25">
      <c r="A56" s="153">
        <v>13</v>
      </c>
      <c r="B56" s="154" t="s">
        <v>491</v>
      </c>
      <c r="C56" s="275">
        <v>1500000000</v>
      </c>
      <c r="D56" s="275"/>
      <c r="E56" s="275">
        <f t="shared" si="11"/>
        <v>1500000000</v>
      </c>
      <c r="F56" s="275"/>
      <c r="G56" s="154"/>
    </row>
    <row r="57" spans="1:8" ht="51" x14ac:dyDescent="0.25">
      <c r="A57" s="153">
        <v>14</v>
      </c>
      <c r="B57" s="154" t="s">
        <v>492</v>
      </c>
      <c r="C57" s="275">
        <v>14000000</v>
      </c>
      <c r="D57" s="275"/>
      <c r="E57" s="275">
        <f t="shared" si="11"/>
        <v>14000000</v>
      </c>
      <c r="F57" s="275"/>
      <c r="G57" s="154"/>
    </row>
    <row r="58" spans="1:8" ht="68.25" customHeight="1" x14ac:dyDescent="0.25">
      <c r="A58" s="153">
        <v>15</v>
      </c>
      <c r="B58" s="154" t="s">
        <v>493</v>
      </c>
      <c r="C58" s="275">
        <v>1760057500</v>
      </c>
      <c r="D58" s="275">
        <f>C58</f>
        <v>1760057500</v>
      </c>
      <c r="E58" s="275">
        <f t="shared" si="11"/>
        <v>1760057500</v>
      </c>
      <c r="F58" s="275"/>
      <c r="G58" s="154"/>
    </row>
    <row r="59" spans="1:8" ht="42.75" customHeight="1" x14ac:dyDescent="0.25">
      <c r="A59" s="153">
        <v>16</v>
      </c>
      <c r="B59" s="154" t="s">
        <v>497</v>
      </c>
      <c r="C59" s="275">
        <v>1992269277</v>
      </c>
      <c r="D59" s="275">
        <v>1992269277</v>
      </c>
      <c r="E59" s="275">
        <f>SUM(E60:E62)</f>
        <v>705768576</v>
      </c>
      <c r="F59" s="275"/>
      <c r="G59" s="154"/>
      <c r="H59" s="281">
        <f>C59-E59</f>
        <v>1286500701</v>
      </c>
    </row>
    <row r="60" spans="1:8" x14ac:dyDescent="0.25">
      <c r="A60" s="153" t="s">
        <v>287</v>
      </c>
      <c r="B60" s="154" t="s">
        <v>499</v>
      </c>
      <c r="C60" s="275">
        <v>234000000</v>
      </c>
      <c r="D60" s="275">
        <f>C60</f>
        <v>234000000</v>
      </c>
      <c r="E60" s="275">
        <f t="shared" si="11"/>
        <v>234000000</v>
      </c>
      <c r="F60" s="275"/>
      <c r="G60" s="154"/>
      <c r="H60" s="281"/>
    </row>
    <row r="61" spans="1:8" ht="38.25" x14ac:dyDescent="0.25">
      <c r="A61" s="153" t="s">
        <v>287</v>
      </c>
      <c r="B61" s="154" t="s">
        <v>500</v>
      </c>
      <c r="C61" s="275">
        <v>420000000</v>
      </c>
      <c r="D61" s="275">
        <f>C61</f>
        <v>420000000</v>
      </c>
      <c r="E61" s="275">
        <f t="shared" si="11"/>
        <v>420000000</v>
      </c>
      <c r="F61" s="275"/>
      <c r="G61" s="154"/>
      <c r="H61" s="281"/>
    </row>
    <row r="62" spans="1:8" ht="24.75" customHeight="1" x14ac:dyDescent="0.25">
      <c r="A62" s="153" t="s">
        <v>287</v>
      </c>
      <c r="B62" s="154" t="s">
        <v>501</v>
      </c>
      <c r="C62" s="275">
        <v>1338269277</v>
      </c>
      <c r="D62" s="275"/>
      <c r="E62" s="275">
        <v>51768576</v>
      </c>
      <c r="F62" s="275"/>
      <c r="G62" s="154"/>
      <c r="H62" s="281"/>
    </row>
    <row r="63" spans="1:8" ht="23.25" customHeight="1" x14ac:dyDescent="0.25">
      <c r="A63" s="153">
        <v>17</v>
      </c>
      <c r="B63" s="154" t="s">
        <v>502</v>
      </c>
      <c r="C63" s="275"/>
      <c r="D63" s="275"/>
      <c r="E63" s="275">
        <v>60000000</v>
      </c>
      <c r="F63" s="275"/>
      <c r="G63" s="154"/>
      <c r="H63" s="281"/>
    </row>
    <row r="64" spans="1:8" s="278" customFormat="1" ht="27" customHeight="1" x14ac:dyDescent="0.25">
      <c r="A64" s="151" t="s">
        <v>49</v>
      </c>
      <c r="B64" s="152" t="s">
        <v>118</v>
      </c>
      <c r="C64" s="277"/>
      <c r="D64" s="277"/>
      <c r="E64" s="277">
        <f>'12'!D30</f>
        <v>6322782725</v>
      </c>
      <c r="F64" s="277">
        <f>E64-C64</f>
        <v>6322782725</v>
      </c>
      <c r="G64" s="152"/>
      <c r="H64" s="280"/>
    </row>
    <row r="65" spans="3:6" x14ac:dyDescent="0.25">
      <c r="C65" s="279"/>
      <c r="D65" s="279"/>
      <c r="E65" s="279"/>
      <c r="F65" s="279"/>
    </row>
    <row r="66" spans="3:6" x14ac:dyDescent="0.25">
      <c r="C66" s="279"/>
      <c r="D66" s="279"/>
      <c r="E66" s="279"/>
      <c r="F66" s="279"/>
    </row>
    <row r="67" spans="3:6" x14ac:dyDescent="0.25">
      <c r="C67" s="279"/>
      <c r="D67" s="279"/>
      <c r="E67" s="279"/>
      <c r="F67" s="279"/>
    </row>
  </sheetData>
  <mergeCells count="10">
    <mergeCell ref="A3:G3"/>
    <mergeCell ref="A4:G4"/>
    <mergeCell ref="A5:G5"/>
    <mergeCell ref="E1:G1"/>
    <mergeCell ref="A2:G2"/>
    <mergeCell ref="A6:A7"/>
    <mergeCell ref="B6:B7"/>
    <mergeCell ref="C6:C7"/>
    <mergeCell ref="E6:E7"/>
    <mergeCell ref="F6:G6"/>
  </mergeCells>
  <pageMargins left="0.57999999999999996" right="0.33" top="0.45" bottom="0.62" header="0.3" footer="0.3"/>
  <pageSetup paperSize="9" firstPageNumber="14" orientation="portrait" useFirstPageNumber="1" verticalDpi="0" r:id="rId1"/>
  <headerFooter>
    <oddFooter>&amp;C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7"/>
  <sheetViews>
    <sheetView tabSelected="1" view="pageBreakPreview" zoomScaleNormal="115" zoomScaleSheetLayoutView="100" workbookViewId="0">
      <selection activeCell="B10" sqref="B10"/>
    </sheetView>
  </sheetViews>
  <sheetFormatPr defaultColWidth="9" defaultRowHeight="15" x14ac:dyDescent="0.25"/>
  <cols>
    <col min="1" max="1" width="6" style="704" customWidth="1"/>
    <col min="2" max="2" width="43.7109375" style="704" customWidth="1"/>
    <col min="3" max="3" width="13.85546875" style="704" hidden="1" customWidth="1"/>
    <col min="4" max="4" width="13.42578125" style="704" hidden="1" customWidth="1"/>
    <col min="5" max="5" width="19.42578125" style="704" customWidth="1"/>
    <col min="6" max="6" width="12.42578125" style="704" hidden="1" customWidth="1"/>
    <col min="7" max="7" width="9" style="704" hidden="1" customWidth="1"/>
    <col min="8" max="8" width="10.42578125" style="704" customWidth="1"/>
    <col min="9" max="16384" width="9" style="704"/>
  </cols>
  <sheetData>
    <row r="1" spans="1:8" ht="44.25" customHeight="1" x14ac:dyDescent="0.25">
      <c r="B1" s="705"/>
      <c r="C1" s="705"/>
      <c r="D1" s="705"/>
      <c r="E1" s="851" t="s">
        <v>411</v>
      </c>
      <c r="F1" s="851"/>
      <c r="G1" s="851"/>
      <c r="H1" s="851"/>
    </row>
    <row r="2" spans="1:8" ht="18" customHeight="1" x14ac:dyDescent="0.25">
      <c r="A2" s="854" t="s">
        <v>415</v>
      </c>
      <c r="B2" s="854"/>
      <c r="C2" s="854"/>
      <c r="D2" s="854"/>
      <c r="E2" s="854"/>
      <c r="F2" s="854"/>
      <c r="G2" s="854"/>
      <c r="H2" s="854"/>
    </row>
    <row r="3" spans="1:8" ht="18" customHeight="1" x14ac:dyDescent="0.25">
      <c r="A3" s="853" t="s">
        <v>402</v>
      </c>
      <c r="B3" s="853"/>
      <c r="C3" s="853"/>
      <c r="D3" s="853"/>
      <c r="E3" s="853"/>
      <c r="F3" s="853"/>
      <c r="G3" s="853"/>
      <c r="H3" s="853"/>
    </row>
    <row r="4" spans="1:8" ht="18" customHeight="1" x14ac:dyDescent="0.25">
      <c r="A4" s="852" t="s">
        <v>932</v>
      </c>
      <c r="B4" s="852"/>
      <c r="C4" s="852"/>
      <c r="D4" s="852"/>
      <c r="E4" s="852"/>
      <c r="F4" s="852"/>
      <c r="G4" s="852"/>
      <c r="H4" s="852"/>
    </row>
    <row r="5" spans="1:8" ht="18" customHeight="1" x14ac:dyDescent="0.25">
      <c r="A5" s="855" t="s">
        <v>228</v>
      </c>
      <c r="B5" s="855"/>
      <c r="C5" s="855"/>
      <c r="D5" s="855"/>
      <c r="E5" s="855"/>
      <c r="F5" s="855"/>
      <c r="G5" s="855"/>
      <c r="H5" s="855"/>
    </row>
    <row r="6" spans="1:8" ht="24.75" customHeight="1" x14ac:dyDescent="0.25">
      <c r="A6" s="850" t="s">
        <v>0</v>
      </c>
      <c r="B6" s="850" t="s">
        <v>59</v>
      </c>
      <c r="C6" s="850" t="s">
        <v>372</v>
      </c>
      <c r="D6" s="850" t="s">
        <v>373</v>
      </c>
      <c r="E6" s="850" t="s">
        <v>403</v>
      </c>
      <c r="F6" s="850" t="s">
        <v>119</v>
      </c>
      <c r="G6" s="850"/>
      <c r="H6" s="850" t="s">
        <v>264</v>
      </c>
    </row>
    <row r="7" spans="1:8" ht="5.25" customHeight="1" x14ac:dyDescent="0.25">
      <c r="A7" s="850"/>
      <c r="B7" s="850"/>
      <c r="C7" s="850"/>
      <c r="D7" s="850"/>
      <c r="E7" s="850"/>
      <c r="F7" s="799" t="s">
        <v>18</v>
      </c>
      <c r="G7" s="799" t="s">
        <v>19</v>
      </c>
      <c r="H7" s="850"/>
    </row>
    <row r="8" spans="1:8" s="709" customFormat="1" x14ac:dyDescent="0.25">
      <c r="A8" s="707" t="s">
        <v>6</v>
      </c>
      <c r="B8" s="707" t="s">
        <v>7</v>
      </c>
      <c r="C8" s="707">
        <v>1</v>
      </c>
      <c r="D8" s="707">
        <v>2</v>
      </c>
      <c r="E8" s="707">
        <v>1</v>
      </c>
      <c r="F8" s="707">
        <v>4</v>
      </c>
      <c r="G8" s="707">
        <v>5</v>
      </c>
      <c r="H8" s="708">
        <v>2</v>
      </c>
    </row>
    <row r="9" spans="1:8" ht="21" customHeight="1" x14ac:dyDescent="0.25">
      <c r="A9" s="799" t="s">
        <v>6</v>
      </c>
      <c r="B9" s="710" t="s">
        <v>22</v>
      </c>
      <c r="C9" s="711">
        <f>C10+C13+C16+C17+C18</f>
        <v>228631540870</v>
      </c>
      <c r="D9" s="711">
        <f>D10+D13+D16+D17+D18</f>
        <v>228691540870</v>
      </c>
      <c r="E9" s="711">
        <f>E10+E13+E16+E17+E18</f>
        <v>167953000000</v>
      </c>
      <c r="F9" s="711">
        <f>E9-D9</f>
        <v>-60738540870</v>
      </c>
      <c r="G9" s="712">
        <f>E9/D9</f>
        <v>0.73440844974442276</v>
      </c>
      <c r="H9" s="713"/>
    </row>
    <row r="10" spans="1:8" ht="21" customHeight="1" x14ac:dyDescent="0.25">
      <c r="A10" s="799" t="s">
        <v>23</v>
      </c>
      <c r="B10" s="710" t="s">
        <v>24</v>
      </c>
      <c r="C10" s="710">
        <f>C11+C12</f>
        <v>0</v>
      </c>
      <c r="D10" s="714">
        <f>D11+D12</f>
        <v>60000000</v>
      </c>
      <c r="E10" s="714">
        <f>E11+E12</f>
        <v>1518000000</v>
      </c>
      <c r="F10" s="711">
        <f>E10-D10</f>
        <v>1458000000</v>
      </c>
      <c r="G10" s="712">
        <f>E10/D10</f>
        <v>25.3</v>
      </c>
      <c r="H10" s="713"/>
    </row>
    <row r="11" spans="1:8" ht="21" customHeight="1" x14ac:dyDescent="0.25">
      <c r="A11" s="715" t="s">
        <v>74</v>
      </c>
      <c r="B11" s="716" t="s">
        <v>25</v>
      </c>
      <c r="C11" s="716"/>
      <c r="D11" s="717">
        <f>'12'!D11</f>
        <v>60000000</v>
      </c>
      <c r="E11" s="718">
        <f>'16'!F42+'16'!F33</f>
        <v>234000000</v>
      </c>
      <c r="F11" s="716"/>
      <c r="G11" s="716"/>
      <c r="H11" s="713"/>
    </row>
    <row r="12" spans="1:8" ht="21" customHeight="1" x14ac:dyDescent="0.25">
      <c r="A12" s="715" t="s">
        <v>74</v>
      </c>
      <c r="B12" s="716" t="s">
        <v>26</v>
      </c>
      <c r="C12" s="716"/>
      <c r="D12" s="717"/>
      <c r="E12" s="718">
        <f>'16'!F18+'16'!F24+'16'!F28+'16'!F37</f>
        <v>1284000000</v>
      </c>
      <c r="F12" s="716"/>
      <c r="G12" s="716"/>
      <c r="H12" s="713"/>
    </row>
    <row r="13" spans="1:8" ht="21" customHeight="1" x14ac:dyDescent="0.25">
      <c r="A13" s="799" t="s">
        <v>27</v>
      </c>
      <c r="B13" s="710" t="s">
        <v>28</v>
      </c>
      <c r="C13" s="711">
        <f>C14+C15</f>
        <v>190086540870</v>
      </c>
      <c r="D13" s="714">
        <f t="shared" ref="D13:E13" si="0">D14+D15</f>
        <v>190086540870</v>
      </c>
      <c r="E13" s="711">
        <f t="shared" si="0"/>
        <v>166435000000</v>
      </c>
      <c r="F13" s="711">
        <f>E13-D13</f>
        <v>-23651540870</v>
      </c>
      <c r="G13" s="712">
        <f>E13/D13</f>
        <v>0.87557487888542684</v>
      </c>
      <c r="H13" s="713"/>
    </row>
    <row r="14" spans="1:8" ht="21" customHeight="1" x14ac:dyDescent="0.25">
      <c r="A14" s="715">
        <v>1</v>
      </c>
      <c r="B14" s="716" t="s">
        <v>29</v>
      </c>
      <c r="C14" s="718">
        <f>'12'!C14</f>
        <v>135875000000</v>
      </c>
      <c r="D14" s="717">
        <f>'12'!D14</f>
        <v>135875000000</v>
      </c>
      <c r="E14" s="718">
        <f>'Biểu 01'!D9-E10</f>
        <v>106851000000</v>
      </c>
      <c r="F14" s="716"/>
      <c r="G14" s="716"/>
      <c r="H14" s="713"/>
    </row>
    <row r="15" spans="1:8" ht="21" customHeight="1" x14ac:dyDescent="0.25">
      <c r="A15" s="715">
        <v>2</v>
      </c>
      <c r="B15" s="716" t="s">
        <v>30</v>
      </c>
      <c r="C15" s="718">
        <f>'12'!C15</f>
        <v>54211540870</v>
      </c>
      <c r="D15" s="717">
        <f>'12'!D15</f>
        <v>54211540870</v>
      </c>
      <c r="E15" s="718">
        <f>'Biểu 01'!D32</f>
        <v>59584000000</v>
      </c>
      <c r="F15" s="716"/>
      <c r="G15" s="716"/>
      <c r="H15" s="713"/>
    </row>
    <row r="16" spans="1:8" ht="21" customHeight="1" x14ac:dyDescent="0.25">
      <c r="A16" s="799" t="s">
        <v>31</v>
      </c>
      <c r="B16" s="710" t="s">
        <v>32</v>
      </c>
      <c r="C16" s="710"/>
      <c r="D16" s="714"/>
      <c r="E16" s="710"/>
      <c r="F16" s="710"/>
      <c r="G16" s="710"/>
      <c r="H16" s="713"/>
    </row>
    <row r="17" spans="1:8" ht="21" customHeight="1" x14ac:dyDescent="0.25">
      <c r="A17" s="799" t="s">
        <v>33</v>
      </c>
      <c r="B17" s="710" t="s">
        <v>34</v>
      </c>
      <c r="C17" s="711">
        <f>'12'!C17</f>
        <v>65000000</v>
      </c>
      <c r="D17" s="714">
        <f>'12'!D17</f>
        <v>65000000</v>
      </c>
      <c r="E17" s="710"/>
      <c r="F17" s="711">
        <f>E17-D17</f>
        <v>-65000000</v>
      </c>
      <c r="G17" s="712">
        <f>E17/D17</f>
        <v>0</v>
      </c>
      <c r="H17" s="713"/>
    </row>
    <row r="18" spans="1:8" ht="21" customHeight="1" x14ac:dyDescent="0.25">
      <c r="A18" s="799" t="s">
        <v>35</v>
      </c>
      <c r="B18" s="710" t="s">
        <v>36</v>
      </c>
      <c r="C18" s="711">
        <f>'12'!C18</f>
        <v>38480000000</v>
      </c>
      <c r="D18" s="714">
        <f>'12'!D18</f>
        <v>38480000000</v>
      </c>
      <c r="E18" s="710"/>
      <c r="F18" s="711">
        <f>E18-D18</f>
        <v>-38480000000</v>
      </c>
      <c r="G18" s="712">
        <f>E18/D18</f>
        <v>0</v>
      </c>
      <c r="H18" s="713"/>
    </row>
    <row r="19" spans="1:8" ht="21" customHeight="1" x14ac:dyDescent="0.25">
      <c r="A19" s="799" t="s">
        <v>7</v>
      </c>
      <c r="B19" s="710" t="s">
        <v>37</v>
      </c>
      <c r="C19" s="719">
        <f>C20+C27+C30</f>
        <v>228566540870</v>
      </c>
      <c r="D19" s="719">
        <f>D20+D27+D30</f>
        <v>224042054159</v>
      </c>
      <c r="E19" s="719">
        <f>E20+E27+E30</f>
        <v>167953000000</v>
      </c>
      <c r="F19" s="711">
        <f>E19-D19</f>
        <v>-56089054159</v>
      </c>
      <c r="G19" s="712">
        <f>E19/D19</f>
        <v>0.7496494380506159</v>
      </c>
      <c r="H19" s="713"/>
    </row>
    <row r="20" spans="1:8" ht="21" customHeight="1" x14ac:dyDescent="0.25">
      <c r="A20" s="799" t="s">
        <v>23</v>
      </c>
      <c r="B20" s="710" t="s">
        <v>38</v>
      </c>
      <c r="C20" s="714">
        <f>SUM(C21:C26)</f>
        <v>135875000000</v>
      </c>
      <c r="D20" s="714">
        <f>SUM(D21:D26)</f>
        <v>133875000000</v>
      </c>
      <c r="E20" s="714">
        <f>SUM(E21:E26)</f>
        <v>108369000000</v>
      </c>
      <c r="F20" s="711">
        <f>E20-D20</f>
        <v>-25506000000</v>
      </c>
      <c r="G20" s="712">
        <f>E20/D20</f>
        <v>0.80947899159663861</v>
      </c>
      <c r="H20" s="713"/>
    </row>
    <row r="21" spans="1:8" ht="21" customHeight="1" x14ac:dyDescent="0.25">
      <c r="A21" s="715">
        <v>1</v>
      </c>
      <c r="B21" s="716" t="s">
        <v>120</v>
      </c>
      <c r="C21" s="716"/>
      <c r="D21" s="716"/>
      <c r="E21" s="718">
        <f>'Biểu 01'!D10</f>
        <v>2038000000</v>
      </c>
      <c r="F21" s="716"/>
      <c r="G21" s="716"/>
      <c r="H21" s="713"/>
    </row>
    <row r="22" spans="1:8" ht="21" customHeight="1" x14ac:dyDescent="0.25">
      <c r="A22" s="715">
        <v>2</v>
      </c>
      <c r="B22" s="716" t="s">
        <v>40</v>
      </c>
      <c r="C22" s="718">
        <f>'12'!C22</f>
        <v>132984000000</v>
      </c>
      <c r="D22" s="718">
        <f>'12'!D22</f>
        <v>130984000000</v>
      </c>
      <c r="E22" s="718">
        <f>'Biểu 01'!D15</f>
        <v>103638000000</v>
      </c>
      <c r="F22" s="716"/>
      <c r="G22" s="716"/>
      <c r="H22" s="713"/>
    </row>
    <row r="23" spans="1:8" ht="21" customHeight="1" x14ac:dyDescent="0.25">
      <c r="A23" s="715">
        <v>3</v>
      </c>
      <c r="B23" s="716" t="s">
        <v>121</v>
      </c>
      <c r="C23" s="716"/>
      <c r="D23" s="716"/>
      <c r="E23" s="716"/>
      <c r="F23" s="716"/>
      <c r="G23" s="716"/>
      <c r="H23" s="713"/>
    </row>
    <row r="24" spans="1:8" ht="21" customHeight="1" x14ac:dyDescent="0.25">
      <c r="A24" s="715">
        <v>4</v>
      </c>
      <c r="B24" s="716" t="s">
        <v>122</v>
      </c>
      <c r="C24" s="716"/>
      <c r="D24" s="716"/>
      <c r="E24" s="716"/>
      <c r="F24" s="716"/>
      <c r="G24" s="716"/>
      <c r="H24" s="713"/>
    </row>
    <row r="25" spans="1:8" ht="21" customHeight="1" x14ac:dyDescent="0.25">
      <c r="A25" s="715">
        <v>5</v>
      </c>
      <c r="B25" s="716" t="s">
        <v>43</v>
      </c>
      <c r="C25" s="718">
        <f>'12'!C25</f>
        <v>2891000000</v>
      </c>
      <c r="D25" s="718">
        <f>'12'!D25</f>
        <v>2891000000</v>
      </c>
      <c r="E25" s="718">
        <f>'Biểu 01'!D31</f>
        <v>2693000000</v>
      </c>
      <c r="F25" s="716"/>
      <c r="G25" s="716"/>
      <c r="H25" s="713"/>
    </row>
    <row r="26" spans="1:8" ht="21" customHeight="1" x14ac:dyDescent="0.25">
      <c r="A26" s="715">
        <v>6</v>
      </c>
      <c r="B26" s="716" t="s">
        <v>44</v>
      </c>
      <c r="C26" s="716"/>
      <c r="D26" s="716"/>
      <c r="E26" s="716"/>
      <c r="F26" s="716"/>
      <c r="G26" s="716"/>
      <c r="H26" s="713"/>
    </row>
    <row r="27" spans="1:8" ht="21" customHeight="1" x14ac:dyDescent="0.25">
      <c r="A27" s="799" t="s">
        <v>27</v>
      </c>
      <c r="B27" s="710" t="s">
        <v>123</v>
      </c>
      <c r="C27" s="711">
        <f>C28+C29</f>
        <v>92691540870</v>
      </c>
      <c r="D27" s="711">
        <f t="shared" ref="D27:E27" si="1">D28+D29</f>
        <v>83844271434</v>
      </c>
      <c r="E27" s="711">
        <f t="shared" si="1"/>
        <v>59584000000</v>
      </c>
      <c r="F27" s="711">
        <f>E27-D27</f>
        <v>-24260271434</v>
      </c>
      <c r="G27" s="712">
        <f>E27/D27</f>
        <v>0.71065081705555699</v>
      </c>
      <c r="H27" s="713"/>
    </row>
    <row r="28" spans="1:8" ht="21" customHeight="1" x14ac:dyDescent="0.25">
      <c r="A28" s="715">
        <v>1</v>
      </c>
      <c r="B28" s="716" t="s">
        <v>46</v>
      </c>
      <c r="C28" s="718">
        <f>'12'!C28</f>
        <v>61984085960</v>
      </c>
      <c r="D28" s="718">
        <f>'12'!D28</f>
        <v>57298908190</v>
      </c>
      <c r="E28" s="716"/>
      <c r="F28" s="716"/>
      <c r="G28" s="716"/>
      <c r="H28" s="713"/>
    </row>
    <row r="29" spans="1:8" ht="21" customHeight="1" x14ac:dyDescent="0.25">
      <c r="A29" s="715">
        <v>2</v>
      </c>
      <c r="B29" s="716" t="s">
        <v>47</v>
      </c>
      <c r="C29" s="718">
        <f>'12'!C29</f>
        <v>30707454910</v>
      </c>
      <c r="D29" s="718">
        <f>'12'!D29</f>
        <v>26545363244</v>
      </c>
      <c r="E29" s="718">
        <f>'Biểu 01'!D32</f>
        <v>59584000000</v>
      </c>
      <c r="F29" s="716"/>
      <c r="G29" s="716"/>
      <c r="H29" s="713"/>
    </row>
    <row r="30" spans="1:8" ht="21" customHeight="1" x14ac:dyDescent="0.25">
      <c r="A30" s="799" t="s">
        <v>31</v>
      </c>
      <c r="B30" s="710" t="s">
        <v>48</v>
      </c>
      <c r="C30" s="710"/>
      <c r="D30" s="711">
        <f>'12'!D30</f>
        <v>6322782725</v>
      </c>
      <c r="E30" s="710"/>
      <c r="F30" s="711">
        <f>E30-D30</f>
        <v>-6322782725</v>
      </c>
      <c r="G30" s="712">
        <f>E30/D30</f>
        <v>0</v>
      </c>
      <c r="H30" s="713"/>
    </row>
    <row r="31" spans="1:8" ht="21" customHeight="1" x14ac:dyDescent="0.25">
      <c r="A31" s="799" t="s">
        <v>49</v>
      </c>
      <c r="B31" s="710" t="s">
        <v>124</v>
      </c>
      <c r="C31" s="716"/>
      <c r="D31" s="716"/>
      <c r="E31" s="716"/>
      <c r="F31" s="716"/>
      <c r="G31" s="716"/>
      <c r="H31" s="713"/>
    </row>
    <row r="32" spans="1:8" ht="21" customHeight="1" x14ac:dyDescent="0.25">
      <c r="A32" s="799" t="s">
        <v>51</v>
      </c>
      <c r="B32" s="710" t="s">
        <v>125</v>
      </c>
      <c r="C32" s="716"/>
      <c r="D32" s="716"/>
      <c r="E32" s="716"/>
      <c r="F32" s="716"/>
      <c r="G32" s="716"/>
      <c r="H32" s="713"/>
    </row>
    <row r="33" spans="1:8" ht="21" customHeight="1" x14ac:dyDescent="0.25">
      <c r="A33" s="799" t="s">
        <v>23</v>
      </c>
      <c r="B33" s="710" t="s">
        <v>53</v>
      </c>
      <c r="C33" s="716"/>
      <c r="D33" s="716"/>
      <c r="E33" s="716"/>
      <c r="F33" s="716"/>
      <c r="G33" s="716"/>
      <c r="H33" s="713"/>
    </row>
    <row r="34" spans="1:8" ht="33" customHeight="1" x14ac:dyDescent="0.25">
      <c r="A34" s="799" t="s">
        <v>27</v>
      </c>
      <c r="B34" s="710" t="s">
        <v>54</v>
      </c>
      <c r="C34" s="716"/>
      <c r="D34" s="716"/>
      <c r="E34" s="716"/>
      <c r="F34" s="716"/>
      <c r="G34" s="716"/>
      <c r="H34" s="713"/>
    </row>
    <row r="35" spans="1:8" ht="20.25" customHeight="1" x14ac:dyDescent="0.25">
      <c r="A35" s="799" t="s">
        <v>55</v>
      </c>
      <c r="B35" s="710" t="s">
        <v>126</v>
      </c>
      <c r="C35" s="716"/>
      <c r="D35" s="716"/>
      <c r="E35" s="716"/>
      <c r="F35" s="716"/>
      <c r="G35" s="716"/>
      <c r="H35" s="713"/>
    </row>
    <row r="36" spans="1:8" ht="20.25" customHeight="1" x14ac:dyDescent="0.25">
      <c r="A36" s="799" t="s">
        <v>23</v>
      </c>
      <c r="B36" s="710" t="s">
        <v>57</v>
      </c>
      <c r="C36" s="716"/>
      <c r="D36" s="716"/>
      <c r="E36" s="716"/>
      <c r="F36" s="716"/>
      <c r="G36" s="716"/>
      <c r="H36" s="713"/>
    </row>
    <row r="37" spans="1:8" ht="20.25" customHeight="1" x14ac:dyDescent="0.25">
      <c r="A37" s="799" t="s">
        <v>27</v>
      </c>
      <c r="B37" s="710" t="s">
        <v>58</v>
      </c>
      <c r="C37" s="716"/>
      <c r="D37" s="716"/>
      <c r="E37" s="716"/>
      <c r="F37" s="716"/>
      <c r="G37" s="716"/>
      <c r="H37" s="713"/>
    </row>
  </sheetData>
  <mergeCells count="12">
    <mergeCell ref="H6:H7"/>
    <mergeCell ref="E1:H1"/>
    <mergeCell ref="A4:H4"/>
    <mergeCell ref="A3:H3"/>
    <mergeCell ref="A2:H2"/>
    <mergeCell ref="F6:G6"/>
    <mergeCell ref="A6:A7"/>
    <mergeCell ref="B6:B7"/>
    <mergeCell ref="C6:C7"/>
    <mergeCell ref="D6:D7"/>
    <mergeCell ref="E6:E7"/>
    <mergeCell ref="A5:H5"/>
  </mergeCells>
  <pageMargins left="0.7" right="0.53" top="0.48" bottom="0.49" header="0.3" footer="0.24"/>
  <pageSetup paperSize="9" orientation="portrait" verticalDpi="0" r:id="rId1"/>
  <headerFooter>
    <oddFooter>&amp;C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24</vt:i4>
      </vt:variant>
      <vt:variant>
        <vt:lpstr>Phạm vi có Tên</vt:lpstr>
      </vt:variant>
      <vt:variant>
        <vt:i4>49</vt:i4>
      </vt:variant>
    </vt:vector>
  </HeadingPairs>
  <TitlesOfParts>
    <vt:vector size="73" baseType="lpstr">
      <vt:lpstr>Thu 2024</vt:lpstr>
      <vt:lpstr>Chi</vt:lpstr>
      <vt:lpstr>BC VSN 2025</vt:lpstr>
      <vt:lpstr>BC VĐT 2025</vt:lpstr>
      <vt:lpstr>BC VĐT </vt:lpstr>
      <vt:lpstr>12</vt:lpstr>
      <vt:lpstr>13</vt:lpstr>
      <vt:lpstr>14</vt:lpstr>
      <vt:lpstr>15</vt:lpstr>
      <vt:lpstr>16</vt:lpstr>
      <vt:lpstr>17</vt:lpstr>
      <vt:lpstr>23</vt:lpstr>
      <vt:lpstr>28</vt:lpstr>
      <vt:lpstr>34</vt:lpstr>
      <vt:lpstr>35</vt:lpstr>
      <vt:lpstr>36</vt:lpstr>
      <vt:lpstr>37</vt:lpstr>
      <vt:lpstr>38</vt:lpstr>
      <vt:lpstr>Biểu 01 (cũ)</vt:lpstr>
      <vt:lpstr>Biểu 01</vt:lpstr>
      <vt:lpstr>Biểu 02</vt:lpstr>
      <vt:lpstr>Biểu CSHS</vt:lpstr>
      <vt:lpstr>45</vt:lpstr>
      <vt:lpstr>46</vt:lpstr>
      <vt:lpstr>'12'!chuong_phuluc_12</vt:lpstr>
      <vt:lpstr>'12'!chuong_phuluc_12_name</vt:lpstr>
      <vt:lpstr>'13'!chuong_phuluc_13</vt:lpstr>
      <vt:lpstr>'13'!chuong_phuluc_13_name</vt:lpstr>
      <vt:lpstr>'14'!chuong_phuluc_14</vt:lpstr>
      <vt:lpstr>'14'!chuong_phuluc_14_name</vt:lpstr>
      <vt:lpstr>'15'!chuong_phuluc_15</vt:lpstr>
      <vt:lpstr>'15'!chuong_phuluc_15_name</vt:lpstr>
      <vt:lpstr>'16'!chuong_phuluc_16</vt:lpstr>
      <vt:lpstr>'16'!chuong_phuluc_16_name</vt:lpstr>
      <vt:lpstr>'17'!chuong_phuluc_17</vt:lpstr>
      <vt:lpstr>'17'!chuong_phuluc_17_name</vt:lpstr>
      <vt:lpstr>'23'!chuong_phuluc_23</vt:lpstr>
      <vt:lpstr>'23'!chuong_phuluc_23_name</vt:lpstr>
      <vt:lpstr>'28'!chuong_phuluc_28</vt:lpstr>
      <vt:lpstr>'28'!chuong_phuluc_28_name</vt:lpstr>
      <vt:lpstr>'45'!chuong_phuluc_45</vt:lpstr>
      <vt:lpstr>'45'!chuong_phuluc_45_name</vt:lpstr>
      <vt:lpstr>'16'!Print_Area</vt:lpstr>
      <vt:lpstr>'34'!Print_Area</vt:lpstr>
      <vt:lpstr>'35'!Print_Area</vt:lpstr>
      <vt:lpstr>'Biểu 01'!Print_Area</vt:lpstr>
      <vt:lpstr>'Biểu 02'!Print_Area</vt:lpstr>
      <vt:lpstr>'12'!Print_Titles</vt:lpstr>
      <vt:lpstr>'13'!Print_Titles</vt:lpstr>
      <vt:lpstr>'14'!Print_Titles</vt:lpstr>
      <vt:lpstr>'16'!Print_Titles</vt:lpstr>
      <vt:lpstr>'17'!Print_Titles</vt:lpstr>
      <vt:lpstr>'34'!Print_Titles</vt:lpstr>
      <vt:lpstr>'35'!Print_Titles</vt:lpstr>
      <vt:lpstr>'37'!Print_Titles</vt:lpstr>
      <vt:lpstr>'45'!Print_Titles</vt:lpstr>
      <vt:lpstr>'BC VĐT '!Print_Titles</vt:lpstr>
      <vt:lpstr>'BC VĐT 2025'!Print_Titles</vt:lpstr>
      <vt:lpstr>'BC VSN 2025'!Print_Titles</vt:lpstr>
      <vt:lpstr>'Biểu 01'!Print_Titles</vt:lpstr>
      <vt:lpstr>'Biểu 02'!Print_Titles</vt:lpstr>
      <vt:lpstr>'Biểu CSHS'!Print_Titles</vt:lpstr>
      <vt:lpstr>'12'!Vùng_In</vt:lpstr>
      <vt:lpstr>'14'!Vùng_In</vt:lpstr>
      <vt:lpstr>'16'!Vùng_In</vt:lpstr>
      <vt:lpstr>'34'!Vùng_In</vt:lpstr>
      <vt:lpstr>'35'!Vùng_In</vt:lpstr>
      <vt:lpstr>'BC VĐT '!Vùng_In</vt:lpstr>
      <vt:lpstr>'BC VĐT 2025'!Vùng_In</vt:lpstr>
      <vt:lpstr>'BC VSN 2025'!Vùng_In</vt:lpstr>
      <vt:lpstr>'Biểu 01'!Vùng_In</vt:lpstr>
      <vt:lpstr>'Biểu 02'!Vùng_In</vt:lpstr>
      <vt:lpstr>'Thu 2024'!Vùng_In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2025-12-30T01:26:01Z</cp:lastPrinted>
  <dcterms:created xsi:type="dcterms:W3CDTF">2015-06-05T18:17:20Z</dcterms:created>
  <dcterms:modified xsi:type="dcterms:W3CDTF">2025-12-30T01:26:24Z</dcterms:modified>
</cp:coreProperties>
</file>